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Яндекс Диск\Учеба\СПбПУ Петра Великого (ИСУиТС)\3 курс\6 семестр\Расчет трактора\"/>
    </mc:Choice>
  </mc:AlternateContent>
  <bookViews>
    <workbookView xWindow="240" yWindow="60" windowWidth="20115" windowHeight="8010" activeTab="1"/>
  </bookViews>
  <sheets>
    <sheet name="РАСЧЁТЫ" sheetId="1" r:id="rId1"/>
    <sheet name="ПРАКТИЧЕСКАЯ ЗАДАЧА" sheetId="14" r:id="rId2"/>
  </sheets>
  <calcPr calcId="162913"/>
</workbook>
</file>

<file path=xl/calcChain.xml><?xml version="1.0" encoding="utf-8"?>
<calcChain xmlns="http://schemas.openxmlformats.org/spreadsheetml/2006/main">
  <c r="O32" i="1" l="1"/>
  <c r="AE7" i="1" l="1"/>
  <c r="AD7" i="1"/>
  <c r="AC7" i="1"/>
  <c r="AB7" i="1"/>
  <c r="Z7" i="1"/>
  <c r="AA7" i="1"/>
  <c r="AE6" i="1"/>
  <c r="AD6" i="1"/>
  <c r="AC6" i="1"/>
  <c r="AB6" i="1"/>
  <c r="AA6" i="1"/>
  <c r="Z6" i="1"/>
  <c r="AE5" i="1"/>
  <c r="AD5" i="1"/>
  <c r="AC5" i="1"/>
  <c r="AB5" i="1"/>
  <c r="AA5" i="1"/>
  <c r="Z5" i="1"/>
  <c r="AE4" i="1"/>
  <c r="AD4" i="1"/>
  <c r="AC4" i="1"/>
  <c r="AB4" i="1"/>
  <c r="AA4" i="1"/>
  <c r="Z4" i="1"/>
  <c r="K33" i="1" l="1"/>
  <c r="L33" i="1"/>
  <c r="M33" i="1"/>
  <c r="N33" i="1"/>
  <c r="O33" i="1"/>
  <c r="P33" i="1"/>
  <c r="Q33" i="1"/>
  <c r="R33" i="1"/>
  <c r="S33" i="1"/>
  <c r="T33" i="1"/>
  <c r="J33" i="1"/>
  <c r="F36" i="1" l="1"/>
  <c r="Z9" i="1" s="1"/>
  <c r="F19" i="1" l="1"/>
  <c r="F37" i="1"/>
  <c r="F27" i="1"/>
  <c r="F28" i="1"/>
  <c r="F30" i="1"/>
  <c r="F29" i="1"/>
  <c r="F26" i="1"/>
  <c r="AE56" i="1" l="1"/>
  <c r="Z56" i="1"/>
  <c r="AE88" i="1"/>
  <c r="AE89" i="1" s="1"/>
  <c r="T31" i="1"/>
  <c r="T36" i="1" s="1"/>
  <c r="AE64" i="1"/>
  <c r="Z64" i="1"/>
  <c r="AE58" i="1"/>
  <c r="AE66" i="1"/>
  <c r="AE74" i="1"/>
  <c r="AE82" i="1"/>
  <c r="AE90" i="1"/>
  <c r="Z74" i="1"/>
  <c r="Z66" i="1"/>
  <c r="Z58" i="1"/>
  <c r="AE80" i="1"/>
  <c r="AE81" i="1" s="1"/>
  <c r="S31" i="1"/>
  <c r="AE72" i="1"/>
  <c r="Z72" i="1"/>
  <c r="R31" i="1"/>
  <c r="Z88" i="1"/>
  <c r="Z89" i="1" s="1"/>
  <c r="S23" i="1"/>
  <c r="S24" i="1" s="1"/>
  <c r="Z80" i="1"/>
  <c r="Z90" i="1"/>
  <c r="Z82" i="1"/>
  <c r="S22" i="1"/>
  <c r="R21" i="1"/>
  <c r="T21" i="1"/>
  <c r="T23" i="1"/>
  <c r="T24" i="1" s="1"/>
  <c r="S21" i="1"/>
  <c r="P31" i="1"/>
  <c r="P36" i="1" s="1"/>
  <c r="Q31" i="1"/>
  <c r="P23" i="1"/>
  <c r="P32" i="1" s="1"/>
  <c r="Q23" i="1"/>
  <c r="Q32" i="1" s="1"/>
  <c r="R23" i="1"/>
  <c r="R32" i="1" s="1"/>
  <c r="T22" i="1"/>
  <c r="P25" i="1"/>
  <c r="Q24" i="1"/>
  <c r="P21" i="1"/>
  <c r="P22" i="1"/>
  <c r="Q22" i="1"/>
  <c r="Q21" i="1"/>
  <c r="R22" i="1"/>
  <c r="H3" i="14"/>
  <c r="J3" i="14" s="1"/>
  <c r="H4" i="14"/>
  <c r="J4" i="14" s="1"/>
  <c r="E3" i="14"/>
  <c r="G3" i="14" s="1"/>
  <c r="E4" i="14"/>
  <c r="G4" i="14" s="1"/>
  <c r="F21" i="1"/>
  <c r="AE16" i="1" s="1"/>
  <c r="AE17" i="1" s="1"/>
  <c r="F22" i="1"/>
  <c r="F23" i="1"/>
  <c r="F24" i="1"/>
  <c r="F25" i="1"/>
  <c r="F20" i="1"/>
  <c r="AE48" i="1" l="1"/>
  <c r="Z48" i="1"/>
  <c r="AD48" i="1"/>
  <c r="Z32" i="1"/>
  <c r="AE32" i="1"/>
  <c r="AE33" i="1" s="1"/>
  <c r="Q34" i="1"/>
  <c r="Q36" i="1"/>
  <c r="R34" i="1"/>
  <c r="R36" i="1"/>
  <c r="AE73" i="1"/>
  <c r="AE75" i="1"/>
  <c r="AE76" i="1" s="1"/>
  <c r="Z50" i="1"/>
  <c r="AE18" i="1"/>
  <c r="AE50" i="1"/>
  <c r="AE34" i="1"/>
  <c r="Z65" i="1"/>
  <c r="Z67" i="1"/>
  <c r="Z68" i="1" s="1"/>
  <c r="Z57" i="1"/>
  <c r="Z59" i="1"/>
  <c r="Z60" i="1" s="1"/>
  <c r="AE9" i="1"/>
  <c r="AE10" i="1"/>
  <c r="AD9" i="1"/>
  <c r="AE8" i="1"/>
  <c r="AD10" i="1"/>
  <c r="J31" i="1"/>
  <c r="J23" i="1"/>
  <c r="Z40" i="1"/>
  <c r="AE40" i="1"/>
  <c r="AE41" i="1" s="1"/>
  <c r="Z24" i="1"/>
  <c r="AE24" i="1"/>
  <c r="AE25" i="1" s="1"/>
  <c r="Z73" i="1"/>
  <c r="Z75" i="1"/>
  <c r="Z76" i="1" s="1"/>
  <c r="Z77" i="1" s="1"/>
  <c r="Z78" i="1" s="1"/>
  <c r="S36" i="1"/>
  <c r="S34" i="1"/>
  <c r="AD50" i="1"/>
  <c r="AE42" i="1"/>
  <c r="AE26" i="1"/>
  <c r="AE65" i="1"/>
  <c r="AE67" i="1"/>
  <c r="AE68" i="1" s="1"/>
  <c r="AE57" i="1"/>
  <c r="AE59" i="1"/>
  <c r="AE60" i="1" s="1"/>
  <c r="Z42" i="1"/>
  <c r="O21" i="1"/>
  <c r="Z33" i="1"/>
  <c r="K21" i="1"/>
  <c r="Z16" i="1"/>
  <c r="Z18" i="1"/>
  <c r="Z34" i="1"/>
  <c r="K22" i="1"/>
  <c r="Z41" i="1"/>
  <c r="Z25" i="1"/>
  <c r="AB74" i="1"/>
  <c r="AB58" i="1"/>
  <c r="AB42" i="1"/>
  <c r="AB26" i="1"/>
  <c r="AB90" i="1"/>
  <c r="AB82" i="1"/>
  <c r="AB66" i="1"/>
  <c r="AB34" i="1"/>
  <c r="AB50" i="1"/>
  <c r="AB10" i="1"/>
  <c r="Z26" i="1"/>
  <c r="Z10" i="1"/>
  <c r="J22" i="1"/>
  <c r="P24" i="1"/>
  <c r="O23" i="1"/>
  <c r="O31" i="1"/>
  <c r="O36" i="1" s="1"/>
  <c r="Q25" i="1"/>
  <c r="R25" i="1"/>
  <c r="R24" i="1"/>
  <c r="J21" i="1"/>
  <c r="F4" i="14"/>
  <c r="F3" i="14"/>
  <c r="Z49" i="1" l="1"/>
  <c r="Z51" i="1"/>
  <c r="Z52" i="1" s="1"/>
  <c r="Z53" i="1" s="1"/>
  <c r="Z54" i="1" s="1"/>
  <c r="AE61" i="1"/>
  <c r="AE69" i="1"/>
  <c r="J36" i="1"/>
  <c r="J34" i="1"/>
  <c r="Z61" i="1"/>
  <c r="Z62" i="1" s="1"/>
  <c r="Z69" i="1"/>
  <c r="Z70" i="1" s="1"/>
  <c r="AE77" i="1"/>
  <c r="AD51" i="1"/>
  <c r="AD52" i="1" s="1"/>
  <c r="AD49" i="1"/>
  <c r="AE49" i="1"/>
  <c r="AE51" i="1"/>
  <c r="AE52" i="1" s="1"/>
  <c r="AE53" i="1" s="1"/>
  <c r="Z81" i="1"/>
  <c r="J24" i="1"/>
  <c r="AE55" i="1" l="1"/>
  <c r="AE54" i="1"/>
  <c r="AD53" i="1"/>
  <c r="AE79" i="1"/>
  <c r="AE78" i="1"/>
  <c r="AE71" i="1"/>
  <c r="AE70" i="1"/>
  <c r="AE63" i="1"/>
  <c r="AE62" i="1"/>
  <c r="T34" i="1"/>
  <c r="AD55" i="1" l="1"/>
  <c r="AD54" i="1"/>
  <c r="AA90" i="1"/>
  <c r="AA82" i="1"/>
  <c r="AA66" i="1"/>
  <c r="AA50" i="1"/>
  <c r="AA34" i="1"/>
  <c r="AA18" i="1"/>
  <c r="AA74" i="1"/>
  <c r="AA26" i="1"/>
  <c r="AA58" i="1"/>
  <c r="AA42" i="1"/>
  <c r="AA10" i="1"/>
  <c r="AC90" i="1"/>
  <c r="AC82" i="1"/>
  <c r="AC66" i="1"/>
  <c r="AC50" i="1"/>
  <c r="AC34" i="1"/>
  <c r="AC58" i="1"/>
  <c r="AC42" i="1"/>
  <c r="AC10" i="1"/>
  <c r="AC74" i="1"/>
  <c r="AC26" i="1"/>
  <c r="AD80" i="1"/>
  <c r="AD72" i="1"/>
  <c r="AD24" i="1"/>
  <c r="AD8" i="1"/>
  <c r="AD88" i="1"/>
  <c r="AD64" i="1"/>
  <c r="AD40" i="1"/>
  <c r="AD32" i="1"/>
  <c r="AD33" i="1" s="1"/>
  <c r="AD56" i="1"/>
  <c r="AA88" i="1"/>
  <c r="AA64" i="1"/>
  <c r="AA56" i="1"/>
  <c r="AA48" i="1"/>
  <c r="AA49" i="1" s="1"/>
  <c r="AA40" i="1"/>
  <c r="AA32" i="1"/>
  <c r="AA80" i="1"/>
  <c r="AA81" i="1" s="1"/>
  <c r="AA8" i="1"/>
  <c r="AA9" i="1" s="1"/>
  <c r="AA72" i="1"/>
  <c r="AA24" i="1"/>
  <c r="AA16" i="1"/>
  <c r="AB80" i="1"/>
  <c r="AB81" i="1" s="1"/>
  <c r="AB72" i="1"/>
  <c r="AB24" i="1"/>
  <c r="AB8" i="1"/>
  <c r="AB9" i="1" s="1"/>
  <c r="AB56" i="1"/>
  <c r="AB48" i="1"/>
  <c r="AB88" i="1"/>
  <c r="AB64" i="1"/>
  <c r="AB40" i="1"/>
  <c r="AB32" i="1"/>
  <c r="AB33" i="1" s="1"/>
  <c r="AC88" i="1"/>
  <c r="AC64" i="1"/>
  <c r="AC65" i="1" s="1"/>
  <c r="AC56" i="1"/>
  <c r="AC48" i="1"/>
  <c r="AC40" i="1"/>
  <c r="AC32" i="1"/>
  <c r="AC33" i="1" s="1"/>
  <c r="AC72" i="1"/>
  <c r="AC24" i="1"/>
  <c r="AC80" i="1"/>
  <c r="AC81" i="1" s="1"/>
  <c r="AC8" i="1"/>
  <c r="AC9" i="1" s="1"/>
  <c r="AD74" i="1"/>
  <c r="AD58" i="1"/>
  <c r="AD42" i="1"/>
  <c r="AD26" i="1"/>
  <c r="AD90" i="1"/>
  <c r="AD82" i="1"/>
  <c r="AD66" i="1"/>
  <c r="AD34" i="1"/>
  <c r="AB18" i="1"/>
  <c r="L22" i="1"/>
  <c r="N21" i="1"/>
  <c r="O22" i="1"/>
  <c r="L23" i="1"/>
  <c r="N23" i="1"/>
  <c r="N31" i="1"/>
  <c r="M31" i="1"/>
  <c r="AC18" i="1"/>
  <c r="AD16" i="1"/>
  <c r="L21" i="1"/>
  <c r="M22" i="1"/>
  <c r="N22" i="1"/>
  <c r="K23" i="1"/>
  <c r="M23" i="1"/>
  <c r="M24" i="1" s="1"/>
  <c r="O25" i="1"/>
  <c r="L31" i="1"/>
  <c r="P34" i="1"/>
  <c r="O34" i="1"/>
  <c r="K31" i="1"/>
  <c r="AB16" i="1"/>
  <c r="AC16" i="1"/>
  <c r="AC17" i="1" s="1"/>
  <c r="AD18" i="1"/>
  <c r="M21" i="1"/>
  <c r="L34" i="1" l="1"/>
  <c r="L36" i="1"/>
  <c r="N34" i="1"/>
  <c r="N36" i="1"/>
  <c r="K34" i="1"/>
  <c r="K36" i="1"/>
  <c r="M34" i="1"/>
  <c r="M36" i="1"/>
  <c r="AC51" i="1"/>
  <c r="AC49" i="1"/>
  <c r="AB67" i="1"/>
  <c r="AB68" i="1" s="1"/>
  <c r="AB65" i="1"/>
  <c r="AB51" i="1"/>
  <c r="AB52" i="1" s="1"/>
  <c r="AB49" i="1"/>
  <c r="AA51" i="1"/>
  <c r="AA52" i="1" s="1"/>
  <c r="AA53" i="1" s="1"/>
  <c r="AA33" i="1"/>
  <c r="AA65" i="1"/>
  <c r="AA67" i="1"/>
  <c r="AD65" i="1"/>
  <c r="AD67" i="1"/>
  <c r="AD68" i="1" s="1"/>
  <c r="AD81" i="1" s="1"/>
  <c r="AC52" i="1"/>
  <c r="AC67" i="1" s="1"/>
  <c r="AC68" i="1" s="1"/>
  <c r="AC69" i="1" s="1"/>
  <c r="AA68" i="1"/>
  <c r="Z17" i="1"/>
  <c r="L24" i="1"/>
  <c r="N24" i="1"/>
  <c r="AB17" i="1"/>
  <c r="K24" i="1"/>
  <c r="O24" i="1"/>
  <c r="AA17" i="1"/>
  <c r="AD17" i="1"/>
  <c r="AB53" i="1" l="1"/>
  <c r="AB54" i="1" s="1"/>
  <c r="AB69" i="1"/>
  <c r="AB70" i="1" s="1"/>
  <c r="AC71" i="1"/>
  <c r="AC70" i="1"/>
  <c r="AA54" i="1"/>
  <c r="AA55" i="1"/>
  <c r="AD69" i="1"/>
  <c r="AA69" i="1"/>
  <c r="AC53" i="1"/>
  <c r="AC25" i="1"/>
  <c r="AB25" i="1"/>
  <c r="AB71" i="1" l="1"/>
  <c r="AB55" i="1"/>
  <c r="AA70" i="1"/>
  <c r="AA71" i="1"/>
  <c r="AC55" i="1"/>
  <c r="AC54" i="1"/>
  <c r="AD71" i="1"/>
  <c r="AD70" i="1"/>
  <c r="AC41" i="1"/>
  <c r="AA25" i="1"/>
  <c r="AD25" i="1"/>
  <c r="AC57" i="1" l="1"/>
  <c r="AD41" i="1"/>
  <c r="AC59" i="1"/>
  <c r="AB41" i="1"/>
  <c r="AA41" i="1" l="1"/>
  <c r="AC60" i="1" l="1"/>
  <c r="AD59" i="1"/>
  <c r="AD57" i="1"/>
  <c r="AC61" i="1" l="1"/>
  <c r="AB59" i="1"/>
  <c r="AB57" i="1"/>
  <c r="AC73" i="1"/>
  <c r="AC75" i="1"/>
  <c r="AA59" i="1"/>
  <c r="AA57" i="1"/>
  <c r="AD60" i="1"/>
  <c r="AC63" i="1" l="1"/>
  <c r="AC62" i="1"/>
  <c r="AD61" i="1"/>
  <c r="AC76" i="1"/>
  <c r="AC77" i="1" s="1"/>
  <c r="AB60" i="1"/>
  <c r="AA60" i="1"/>
  <c r="AD75" i="1"/>
  <c r="AD73" i="1"/>
  <c r="AC79" i="1" l="1"/>
  <c r="AC78" i="1"/>
  <c r="AD63" i="1"/>
  <c r="AD62" i="1"/>
  <c r="AC89" i="1"/>
  <c r="AB61" i="1"/>
  <c r="AB73" i="1"/>
  <c r="AB75" i="1"/>
  <c r="AA75" i="1"/>
  <c r="AA73" i="1"/>
  <c r="AD76" i="1"/>
  <c r="AA61" i="1"/>
  <c r="AA62" i="1" l="1"/>
  <c r="AA63" i="1"/>
  <c r="AB63" i="1"/>
  <c r="AB62" i="1"/>
  <c r="AB76" i="1"/>
  <c r="AD89" i="1"/>
  <c r="AA76" i="1"/>
  <c r="AD77" i="1"/>
  <c r="AD79" i="1" l="1"/>
  <c r="AD78" i="1"/>
  <c r="AB89" i="1"/>
  <c r="AB77" i="1"/>
  <c r="AA77" i="1"/>
  <c r="AA89" i="1"/>
  <c r="AB79" i="1" l="1"/>
  <c r="AB78" i="1"/>
  <c r="AA78" i="1"/>
  <c r="AA79" i="1"/>
</calcChain>
</file>

<file path=xl/sharedStrings.xml><?xml version="1.0" encoding="utf-8"?>
<sst xmlns="http://schemas.openxmlformats.org/spreadsheetml/2006/main" count="492" uniqueCount="205">
  <si>
    <t>Марка трактора</t>
  </si>
  <si>
    <t>Изготовитель</t>
  </si>
  <si>
    <t>Назначение</t>
  </si>
  <si>
    <t>Тяговый класс, тс</t>
  </si>
  <si>
    <t>Габариты, мм:</t>
  </si>
  <si>
    <t>длина</t>
  </si>
  <si>
    <t>ширина</t>
  </si>
  <si>
    <t>высота</t>
  </si>
  <si>
    <t>База, мм</t>
  </si>
  <si>
    <t>Колея, мм</t>
  </si>
  <si>
    <t>Клиренс, мм</t>
  </si>
  <si>
    <t>Масса конструктивная, кг</t>
  </si>
  <si>
    <t>Радиус ведущего колеса, мм</t>
  </si>
  <si>
    <t>Передаточные числа трансмиссии:</t>
  </si>
  <si>
    <t>Марка двигателя</t>
  </si>
  <si>
    <t>Максимальная скорость трактора, км/ч</t>
  </si>
  <si>
    <t>А-41</t>
  </si>
  <si>
    <t>Удельное давление на почву, кг/см</t>
  </si>
  <si>
    <t>Двигатель</t>
  </si>
  <si>
    <t>Мд max</t>
  </si>
  <si>
    <t>Nд max</t>
  </si>
  <si>
    <t>ωд max</t>
  </si>
  <si>
    <t>ωд, рад/с</t>
  </si>
  <si>
    <t>Nд, кВт</t>
  </si>
  <si>
    <t>Мд, Н*м</t>
  </si>
  <si>
    <t>Gт, кг/ч</t>
  </si>
  <si>
    <t>Gтхх, кг/ч</t>
  </si>
  <si>
    <t>Передача</t>
  </si>
  <si>
    <t>I</t>
  </si>
  <si>
    <t>II</t>
  </si>
  <si>
    <t>III</t>
  </si>
  <si>
    <t>IV</t>
  </si>
  <si>
    <t>V</t>
  </si>
  <si>
    <t>VI</t>
  </si>
  <si>
    <t>VII</t>
  </si>
  <si>
    <t>R</t>
  </si>
  <si>
    <t>ωдm, рад/с</t>
  </si>
  <si>
    <t>ωдmax, рад/с</t>
  </si>
  <si>
    <t>Vт, м/с</t>
  </si>
  <si>
    <t>Шаг трака, мм</t>
  </si>
  <si>
    <t>Ширина трака, мм</t>
  </si>
  <si>
    <t>Максимальная скорость трактора, м/с</t>
  </si>
  <si>
    <t>Исходные данные</t>
  </si>
  <si>
    <t xml:space="preserve">Ходоуменьшитель (на всех передачах) </t>
  </si>
  <si>
    <t>Тип ДВС</t>
  </si>
  <si>
    <t>Карбюраторный</t>
  </si>
  <si>
    <t>Двухтактный дизельный</t>
  </si>
  <si>
    <t>Четырёхтактный дизельный</t>
  </si>
  <si>
    <t>а1</t>
  </si>
  <si>
    <t>а2</t>
  </si>
  <si>
    <t>а3</t>
  </si>
  <si>
    <t>Значения коэффициентов а1, а2 и а3</t>
  </si>
  <si>
    <t>Расчёт и построение характеристик двигателя</t>
  </si>
  <si>
    <t>iтр I</t>
  </si>
  <si>
    <t>iтр II</t>
  </si>
  <si>
    <t>iтр III</t>
  </si>
  <si>
    <t>iтр IV</t>
  </si>
  <si>
    <t>iтр V</t>
  </si>
  <si>
    <t>iтр VI</t>
  </si>
  <si>
    <t>iтр VII</t>
  </si>
  <si>
    <t>iтр R</t>
  </si>
  <si>
    <t>Значения теор. ск-ти дв-я трактора Vт и силы тяги на ведущих колёсах Pk по передачам</t>
  </si>
  <si>
    <t>ηтр</t>
  </si>
  <si>
    <t>ηхч</t>
  </si>
  <si>
    <t>f</t>
  </si>
  <si>
    <t>ϕ</t>
  </si>
  <si>
    <t>Pf</t>
  </si>
  <si>
    <t>Pk(Mдmax), Н</t>
  </si>
  <si>
    <t>Н</t>
  </si>
  <si>
    <t>Pкр, Н</t>
  </si>
  <si>
    <t>zвк</t>
  </si>
  <si>
    <t>δ</t>
  </si>
  <si>
    <t>-</t>
  </si>
  <si>
    <t>Для построения δ(Pk) и Pk(Мд)</t>
  </si>
  <si>
    <t>Pk, Н</t>
  </si>
  <si>
    <t>δдоп</t>
  </si>
  <si>
    <r>
      <t xml:space="preserve">Pk, </t>
    </r>
    <r>
      <rPr>
        <b/>
        <sz val="11"/>
        <color theme="1"/>
        <rFont val="Calibri"/>
        <family val="2"/>
        <charset val="204"/>
        <scheme val="minor"/>
      </rPr>
      <t>кН</t>
    </r>
  </si>
  <si>
    <t>Pk I, Н</t>
  </si>
  <si>
    <t>Pкр I, Н</t>
  </si>
  <si>
    <t>Vт I, м/с</t>
  </si>
  <si>
    <t>V I, м/с</t>
  </si>
  <si>
    <t>ηт I</t>
  </si>
  <si>
    <t>Определение действительных скоростей движения трактора, полезной мощности на крюке, удельного расхода топлива и КПД трактора</t>
  </si>
  <si>
    <t>Таблица 1</t>
  </si>
  <si>
    <t>Таблица 2</t>
  </si>
  <si>
    <t>Таблица 3</t>
  </si>
  <si>
    <t>Таблица 3'</t>
  </si>
  <si>
    <t>Таблица 4</t>
  </si>
  <si>
    <t>Результаты расчётов тягово-экономической х-ки трактора</t>
  </si>
  <si>
    <t>План теоретических скоростей движения трактора. Тяговая х-ка трактора и коэф. буксования</t>
  </si>
  <si>
    <t>Pk II, Н</t>
  </si>
  <si>
    <t>Pкр II, Н</t>
  </si>
  <si>
    <t>Vт II, м/с</t>
  </si>
  <si>
    <t>V II, м/с</t>
  </si>
  <si>
    <t>ηт II</t>
  </si>
  <si>
    <t>Pk III, Н</t>
  </si>
  <si>
    <t>Pкр III, Н</t>
  </si>
  <si>
    <t>Vт III, м/с</t>
  </si>
  <si>
    <t>V III, м/с</t>
  </si>
  <si>
    <t>ηт III</t>
  </si>
  <si>
    <t>Pk IV, Н</t>
  </si>
  <si>
    <t>Pкр IV, Н</t>
  </si>
  <si>
    <t>Vт IV, м/с</t>
  </si>
  <si>
    <t>V IV, м/с</t>
  </si>
  <si>
    <t>ηт IV</t>
  </si>
  <si>
    <t>Pk V, Н</t>
  </si>
  <si>
    <t>Pкр V, Н</t>
  </si>
  <si>
    <t>Vт V, м/с</t>
  </si>
  <si>
    <t>V V, м/с</t>
  </si>
  <si>
    <t>ηт V</t>
  </si>
  <si>
    <t>Pk VI, Н</t>
  </si>
  <si>
    <t>Pкр VI, Н</t>
  </si>
  <si>
    <t>Vт VI, м/с</t>
  </si>
  <si>
    <t>V VI, м/с</t>
  </si>
  <si>
    <t>ηт VI</t>
  </si>
  <si>
    <t>Pk VII, Н</t>
  </si>
  <si>
    <t>Pкр VII, Н</t>
  </si>
  <si>
    <t>Vт VII, м/с</t>
  </si>
  <si>
    <t>V VII, м/с</t>
  </si>
  <si>
    <t>ηт VII</t>
  </si>
  <si>
    <t>Номер передачи КП</t>
  </si>
  <si>
    <t>gт, г/кВт*ч</t>
  </si>
  <si>
    <t>ηт</t>
  </si>
  <si>
    <t>Пр, га/ч</t>
  </si>
  <si>
    <t>gтпр, кг/га</t>
  </si>
  <si>
    <t>Nкр I, кВт</t>
  </si>
  <si>
    <t>Nкр II, кВт</t>
  </si>
  <si>
    <t>Nкр III, кВт</t>
  </si>
  <si>
    <t>Nкр IV, кВт</t>
  </si>
  <si>
    <t>Nкр V, кВт</t>
  </si>
  <si>
    <t>Nкр VI, кВт</t>
  </si>
  <si>
    <t>Nкр VII, кВт</t>
  </si>
  <si>
    <t>gт VII, г/кВт*ч</t>
  </si>
  <si>
    <t>gт VI, г/кВт*ч</t>
  </si>
  <si>
    <t>gт V, г/кВт*ч</t>
  </si>
  <si>
    <t>gт IV, г/кВт*ч</t>
  </si>
  <si>
    <t>gт III, г/кВт*ч</t>
  </si>
  <si>
    <t>gт II, г/кВт*ч</t>
  </si>
  <si>
    <t>gт I, г/кВт*ч</t>
  </si>
  <si>
    <r>
      <t xml:space="preserve">rвк, </t>
    </r>
    <r>
      <rPr>
        <b/>
        <sz val="11"/>
        <color theme="1"/>
        <rFont val="Calibri"/>
        <family val="2"/>
        <charset val="204"/>
        <scheme val="minor"/>
      </rPr>
      <t>м</t>
    </r>
  </si>
  <si>
    <r>
      <t xml:space="preserve">Значения f и ϕ даны для </t>
    </r>
    <r>
      <rPr>
        <b/>
        <i/>
        <sz val="11"/>
        <color theme="1"/>
        <rFont val="Calibri"/>
        <family val="2"/>
        <charset val="204"/>
      </rPr>
      <t>поля под посев</t>
    </r>
  </si>
  <si>
    <t>fгр</t>
  </si>
  <si>
    <t>fр</t>
  </si>
  <si>
    <t>hр</t>
  </si>
  <si>
    <t>м</t>
  </si>
  <si>
    <t>Vт</t>
  </si>
  <si>
    <t>м/с</t>
  </si>
  <si>
    <t>рад/с</t>
  </si>
  <si>
    <t>Pkp x</t>
  </si>
  <si>
    <t>Pk x</t>
  </si>
  <si>
    <t xml:space="preserve"> </t>
  </si>
  <si>
    <t>кН</t>
  </si>
  <si>
    <t>Н*м</t>
  </si>
  <si>
    <t>кВт</t>
  </si>
  <si>
    <t>кг/ч</t>
  </si>
  <si>
    <t>Внешняя характеристика</t>
  </si>
  <si>
    <t>Nкр, кВт</t>
  </si>
  <si>
    <t>МТЗ-80</t>
  </si>
  <si>
    <t>Минский тракторный</t>
  </si>
  <si>
    <t>Универсальный пропашной</t>
  </si>
  <si>
    <t>1200-1800</t>
  </si>
  <si>
    <t>VIII</t>
  </si>
  <si>
    <t>ШXX</t>
  </si>
  <si>
    <t>IX</t>
  </si>
  <si>
    <t>RII</t>
  </si>
  <si>
    <t>Д-240</t>
  </si>
  <si>
    <t>iтр RII</t>
  </si>
  <si>
    <t>iтр IX</t>
  </si>
  <si>
    <t>iтр VIII</t>
  </si>
  <si>
    <r>
      <rPr>
        <b/>
        <sz val="11"/>
        <color theme="1"/>
        <rFont val="Calibri"/>
        <family val="2"/>
        <charset val="204"/>
        <scheme val="minor"/>
      </rPr>
      <t>VI</t>
    </r>
    <r>
      <rPr>
        <sz val="11"/>
        <color theme="1"/>
        <rFont val="Calibri"/>
        <family val="2"/>
        <charset val="204"/>
        <scheme val="minor"/>
      </rPr>
      <t xml:space="preserve"> по внешней характеристике</t>
    </r>
  </si>
  <si>
    <t>ω VI</t>
  </si>
  <si>
    <t>Pk max VI</t>
  </si>
  <si>
    <t>Pkp max VI</t>
  </si>
  <si>
    <t>Мд x VI</t>
  </si>
  <si>
    <t>Nдx VI</t>
  </si>
  <si>
    <t>Gт VI</t>
  </si>
  <si>
    <t>Pk VIII, Н</t>
  </si>
  <si>
    <t>Pкр VIII, Н</t>
  </si>
  <si>
    <t>Vт VIII, м/с</t>
  </si>
  <si>
    <t>V VIII, м/с</t>
  </si>
  <si>
    <t>Nкр VIII, кВт</t>
  </si>
  <si>
    <t>gт VIII, г/кВт*ч</t>
  </si>
  <si>
    <t>ηт VIII</t>
  </si>
  <si>
    <t>Pk IX, Н</t>
  </si>
  <si>
    <t>Pкр IX, Н</t>
  </si>
  <si>
    <t>Vт IX, м/с</t>
  </si>
  <si>
    <t>V IX, м/с</t>
  </si>
  <si>
    <t>Nкр IX, кВт</t>
  </si>
  <si>
    <t>gт IX, г/кВт*ч</t>
  </si>
  <si>
    <t>ηт IX</t>
  </si>
  <si>
    <t>Pk R, Н</t>
  </si>
  <si>
    <t>Pкр R, Н</t>
  </si>
  <si>
    <t>Vт R, м/с</t>
  </si>
  <si>
    <t>V R, м/с</t>
  </si>
  <si>
    <t>Nкр R, кВт</t>
  </si>
  <si>
    <t>gт R, г/кВт*ч</t>
  </si>
  <si>
    <t>ηт R</t>
  </si>
  <si>
    <t>Pk RII, Н</t>
  </si>
  <si>
    <t>Pкр RII, Н</t>
  </si>
  <si>
    <t>Vт RII, м/с</t>
  </si>
  <si>
    <t>V RII, м/с</t>
  </si>
  <si>
    <t>Nкр RII, кВт</t>
  </si>
  <si>
    <t>gт RII, г/кВт*ч</t>
  </si>
  <si>
    <t>ηт RII</t>
  </si>
  <si>
    <t xml:space="preserve">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</si>
</sst>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0.0"/>
    <numFmt numFmtId="166" formatCode="#,##0.000"/>
  </numFmts>
  <fonts count="15" x14ac:knownFonts="1">
    <font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b/>
      <i/>
      <sz val="11"/>
      <color theme="1"/>
      <name val="Calibri"/>
      <family val="2"/>
      <charset val="204"/>
    </font>
    <font>
      <i/>
      <sz val="18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  <font>
      <b/>
      <i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2" fillId="0" borderId="0" xfId="0" applyFont="1"/>
    <xf numFmtId="0" fontId="2" fillId="3" borderId="0" xfId="0" applyFont="1" applyFill="1"/>
    <xf numFmtId="0" fontId="0" fillId="3" borderId="0" xfId="0" applyFill="1"/>
    <xf numFmtId="3" fontId="0" fillId="0" borderId="1" xfId="0" applyNumberFormat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0" fillId="3" borderId="0" xfId="0" applyNumberFormat="1" applyFont="1" applyFill="1" applyAlignment="1">
      <alignment horizontal="center" vertical="center"/>
    </xf>
    <xf numFmtId="3" fontId="0" fillId="3" borderId="0" xfId="0" applyNumberFormat="1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3" fontId="0" fillId="5" borderId="1" xfId="0" applyNumberForma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1" fontId="0" fillId="5" borderId="4" xfId="0" applyNumberFormat="1" applyFill="1" applyBorder="1" applyAlignment="1">
      <alignment horizontal="center" vertical="center"/>
    </xf>
    <xf numFmtId="164" fontId="0" fillId="5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0" xfId="0" applyFont="1" applyBorder="1" applyAlignment="1"/>
    <xf numFmtId="0" fontId="13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Alignment="1"/>
    <xf numFmtId="0" fontId="0" fillId="0" borderId="0" xfId="0" applyFont="1" applyAlignment="1">
      <alignment horizontal="right"/>
    </xf>
    <xf numFmtId="0" fontId="0" fillId="0" borderId="0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14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165" fontId="0" fillId="0" borderId="1" xfId="0" applyNumberFormat="1" applyBorder="1" applyAlignment="1">
      <alignment horizontal="center" vertical="center"/>
    </xf>
    <xf numFmtId="2" fontId="6" fillId="6" borderId="1" xfId="0" applyNumberFormat="1" applyFon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6" borderId="1" xfId="0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6" borderId="1" xfId="0" applyNumberForma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4" fontId="6" fillId="6" borderId="1" xfId="0" applyNumberFormat="1" applyFont="1" applyFill="1" applyBorder="1" applyAlignment="1">
      <alignment horizontal="center" vertical="center"/>
    </xf>
    <xf numFmtId="3" fontId="0" fillId="6" borderId="1" xfId="0" applyNumberFormat="1" applyFill="1" applyBorder="1" applyAlignment="1">
      <alignment horizontal="center" vertical="center"/>
    </xf>
    <xf numFmtId="4" fontId="0" fillId="6" borderId="1" xfId="0" applyNumberForma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6" fillId="0" borderId="3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6" fillId="0" borderId="3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3785946820173148E-2"/>
          <c:y val="1.2781088039964359E-2"/>
          <c:w val="0.89328036748185724"/>
          <c:h val="0.82942800087667756"/>
        </c:manualLayout>
      </c:layout>
      <c:scatterChart>
        <c:scatterStyle val="smoothMarker"/>
        <c:varyColors val="0"/>
        <c:ser>
          <c:idx val="5"/>
          <c:order val="0"/>
          <c:tx>
            <c:v>Pk VI</c:v>
          </c:tx>
          <c:xVal>
            <c:numRef>
              <c:f>(РАСЧЁТЫ!$U$34,РАСЧЁТЫ!$O$33)</c:f>
              <c:numCache>
                <c:formatCode>General</c:formatCode>
                <c:ptCount val="2"/>
                <c:pt idx="0">
                  <c:v>0</c:v>
                </c:pt>
                <c:pt idx="1">
                  <c:v>260.5</c:v>
                </c:pt>
              </c:numCache>
            </c:numRef>
          </c:xVal>
          <c:yVal>
            <c:numRef>
              <c:f>(РАСЧЁТЫ!$U$34,РАСЧЁТЫ!$O$34)</c:f>
              <c:numCache>
                <c:formatCode>0</c:formatCode>
                <c:ptCount val="2"/>
                <c:pt idx="0" formatCode="General">
                  <c:v>0</c:v>
                </c:pt>
                <c:pt idx="1">
                  <c:v>24.398178117048342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3E8-4F7A-9A89-7E388F5B41F3}"/>
            </c:ext>
          </c:extLst>
        </c:ser>
        <c:ser>
          <c:idx val="0"/>
          <c:order val="1"/>
          <c:tx>
            <c:v>Pk VII</c:v>
          </c:tx>
          <c:marker>
            <c:symbol val="none"/>
          </c:marker>
          <c:xVal>
            <c:numRef>
              <c:f>(РАСЧЁТЫ!$U$34,РАСЧЁТЫ!$P$33)</c:f>
              <c:numCache>
                <c:formatCode>General</c:formatCode>
                <c:ptCount val="2"/>
                <c:pt idx="0">
                  <c:v>0</c:v>
                </c:pt>
                <c:pt idx="1">
                  <c:v>260.5</c:v>
                </c:pt>
              </c:numCache>
            </c:numRef>
          </c:xVal>
          <c:yVal>
            <c:numRef>
              <c:f>(РАСЧЁТЫ!$U$34,РАСЧЁТЫ!$P$34)</c:f>
              <c:numCache>
                <c:formatCode>0</c:formatCode>
                <c:ptCount val="2"/>
                <c:pt idx="0" formatCode="General">
                  <c:v>0</c:v>
                </c:pt>
                <c:pt idx="1">
                  <c:v>19.837770992366412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B0D-4F65-9039-3EACB3AA04CC}"/>
            </c:ext>
          </c:extLst>
        </c:ser>
        <c:ser>
          <c:idx val="1"/>
          <c:order val="2"/>
          <c:tx>
            <c:v>Pk VIII</c:v>
          </c:tx>
          <c:marker>
            <c:symbol val="none"/>
          </c:marker>
          <c:xVal>
            <c:numRef>
              <c:f>(РАСЧЁТЫ!$U$34,РАСЧЁТЫ!$Q$33)</c:f>
              <c:numCache>
                <c:formatCode>General</c:formatCode>
                <c:ptCount val="2"/>
                <c:pt idx="0">
                  <c:v>0</c:v>
                </c:pt>
                <c:pt idx="1">
                  <c:v>260.5</c:v>
                </c:pt>
              </c:numCache>
            </c:numRef>
          </c:xVal>
          <c:yVal>
            <c:numRef>
              <c:f>(РАСЧЁТЫ!$U$34,РАСЧЁТЫ!$Q$34)</c:f>
              <c:numCache>
                <c:formatCode>0</c:formatCode>
                <c:ptCount val="2"/>
                <c:pt idx="0" formatCode="General">
                  <c:v>0</c:v>
                </c:pt>
                <c:pt idx="1">
                  <c:v>16.759496183206107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B0D-4F65-9039-3EACB3AA04CC}"/>
            </c:ext>
          </c:extLst>
        </c:ser>
        <c:ser>
          <c:idx val="2"/>
          <c:order val="3"/>
          <c:tx>
            <c:v>Pk IX</c:v>
          </c:tx>
          <c:marker>
            <c:symbol val="none"/>
          </c:marker>
          <c:xVal>
            <c:numRef>
              <c:f>(РАСЧЁТЫ!$U$34,РАСЧЁТЫ!$R$33)</c:f>
              <c:numCache>
                <c:formatCode>General</c:formatCode>
                <c:ptCount val="2"/>
                <c:pt idx="0">
                  <c:v>0</c:v>
                </c:pt>
                <c:pt idx="1">
                  <c:v>260.5</c:v>
                </c:pt>
              </c:numCache>
            </c:numRef>
          </c:xVal>
          <c:yVal>
            <c:numRef>
              <c:f>(РАСЧЁТЫ!$U$34,РАСЧЁТЫ!$R$34)</c:f>
              <c:numCache>
                <c:formatCode>0</c:formatCode>
                <c:ptCount val="2"/>
                <c:pt idx="0" formatCode="General">
                  <c:v>0</c:v>
                </c:pt>
                <c:pt idx="1">
                  <c:v>9.0068040712468189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B0D-4F65-9039-3EACB3AA04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332096"/>
        <c:axId val="163334400"/>
      </c:scatterChart>
      <c:scatterChart>
        <c:scatterStyle val="lineMarker"/>
        <c:varyColors val="0"/>
        <c:ser>
          <c:idx val="7"/>
          <c:order val="4"/>
          <c:tx>
            <c:strRef>
              <c:f>РАСЧЁТЫ!$H$25</c:f>
              <c:strCache>
                <c:ptCount val="1"/>
                <c:pt idx="0">
                  <c:v>δ</c:v>
                </c:pt>
              </c:strCache>
            </c:strRef>
          </c:tx>
          <c:spPr>
            <a:ln w="25400">
              <a:noFill/>
            </a:ln>
          </c:spPr>
          <c:marker>
            <c:spPr>
              <a:solidFill>
                <a:schemeClr val="accent6"/>
              </a:solidFill>
              <a:ln w="38100">
                <a:solidFill>
                  <a:schemeClr val="accent6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РАСЧЁТЫ!$O$36:$R$36</c:f>
              <c:numCache>
                <c:formatCode>General</c:formatCode>
                <c:ptCount val="4"/>
                <c:pt idx="0">
                  <c:v>24.398178117048342</c:v>
                </c:pt>
                <c:pt idx="1">
                  <c:v>19.837770992366412</c:v>
                </c:pt>
                <c:pt idx="2">
                  <c:v>16.759496183206107</c:v>
                </c:pt>
                <c:pt idx="3">
                  <c:v>9.0068040712468189</c:v>
                </c:pt>
              </c:numCache>
            </c:numRef>
          </c:xVal>
          <c:yVal>
            <c:numRef>
              <c:f>РАСЧЁТЫ!$O$32:$R$32</c:f>
              <c:numCache>
                <c:formatCode>0.000</c:formatCode>
                <c:ptCount val="4"/>
                <c:pt idx="0">
                  <c:v>0.20283086022490779</c:v>
                </c:pt>
                <c:pt idx="1">
                  <c:v>6.4355207520248564E-2</c:v>
                </c:pt>
                <c:pt idx="2">
                  <c:v>3.8060050107393904E-2</c:v>
                </c:pt>
                <c:pt idx="3">
                  <c:v>8.1946958677622129E-3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C3E8-4F7A-9A89-7E388F5B41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3388287"/>
        <c:axId val="1693384543"/>
      </c:scatterChart>
      <c:scatterChart>
        <c:scatterStyle val="smoothMarker"/>
        <c:varyColors val="0"/>
        <c:ser>
          <c:idx val="3"/>
          <c:order val="5"/>
          <c:tx>
            <c:strRef>
              <c:f>РАСЧЁТЫ!$I$35</c:f>
              <c:strCache>
                <c:ptCount val="1"/>
                <c:pt idx="0">
                  <c:v>δдоп</c:v>
                </c:pt>
              </c:strCache>
            </c:strRef>
          </c:tx>
          <c:marker>
            <c:symbol val="none"/>
          </c:marker>
          <c:xVal>
            <c:numRef>
              <c:f>РАСЧЁТЫ!$J$34:$U$34</c:f>
              <c:numCache>
                <c:formatCode>0</c:formatCode>
                <c:ptCount val="12"/>
                <c:pt idx="0">
                  <c:v>126.00974936386768</c:v>
                </c:pt>
                <c:pt idx="1">
                  <c:v>70.600802798982187</c:v>
                </c:pt>
                <c:pt idx="2">
                  <c:v>41.499704834605595</c:v>
                </c:pt>
                <c:pt idx="3">
                  <c:v>33.804017811704831</c:v>
                </c:pt>
                <c:pt idx="4">
                  <c:v>28.531047073791346</c:v>
                </c:pt>
                <c:pt idx="5">
                  <c:v>24.398178117048342</c:v>
                </c:pt>
                <c:pt idx="6">
                  <c:v>19.837770992366412</c:v>
                </c:pt>
                <c:pt idx="7">
                  <c:v>16.759496183206107</c:v>
                </c:pt>
                <c:pt idx="8">
                  <c:v>9.0068040712468189</c:v>
                </c:pt>
                <c:pt idx="9">
                  <c:v>57.062094147582691</c:v>
                </c:pt>
                <c:pt idx="10">
                  <c:v>33.518992366412213</c:v>
                </c:pt>
                <c:pt idx="11" formatCode="General">
                  <c:v>0</c:v>
                </c:pt>
              </c:numCache>
            </c:numRef>
          </c:xVal>
          <c:yVal>
            <c:numRef>
              <c:f>РАСЧЁТЫ!$J$35:$U$35</c:f>
              <c:numCache>
                <c:formatCode>General</c:formatCode>
                <c:ptCount val="12"/>
                <c:pt idx="0">
                  <c:v>0.16</c:v>
                </c:pt>
                <c:pt idx="1">
                  <c:v>0.16</c:v>
                </c:pt>
                <c:pt idx="2">
                  <c:v>0.16</c:v>
                </c:pt>
                <c:pt idx="3">
                  <c:v>0.16</c:v>
                </c:pt>
                <c:pt idx="4">
                  <c:v>0.16</c:v>
                </c:pt>
                <c:pt idx="5">
                  <c:v>0.16</c:v>
                </c:pt>
                <c:pt idx="6">
                  <c:v>0.16</c:v>
                </c:pt>
                <c:pt idx="7">
                  <c:v>0.16</c:v>
                </c:pt>
                <c:pt idx="8">
                  <c:v>0.16</c:v>
                </c:pt>
                <c:pt idx="9">
                  <c:v>0.16</c:v>
                </c:pt>
                <c:pt idx="10">
                  <c:v>0.16</c:v>
                </c:pt>
                <c:pt idx="11">
                  <c:v>0.16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B65-446A-94C1-516C46EF4E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3388287"/>
        <c:axId val="1693384543"/>
      </c:scatterChart>
      <c:valAx>
        <c:axId val="163332096"/>
        <c:scaling>
          <c:orientation val="minMax"/>
          <c:max val="50"/>
          <c:min val="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Мд, Н*м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63334400"/>
        <c:crosses val="autoZero"/>
        <c:crossBetween val="midCat"/>
        <c:majorUnit val="10"/>
      </c:valAx>
      <c:valAx>
        <c:axId val="163334400"/>
        <c:scaling>
          <c:orientation val="minMax"/>
          <c:max val="3"/>
          <c:min val="0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Pk,</a:t>
                </a:r>
                <a:r>
                  <a:rPr lang="ru-RU" baseline="0"/>
                  <a:t> кН</a:t>
                </a:r>
                <a:endParaRPr lang="ru-RU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63332096"/>
        <c:crosses val="autoZero"/>
        <c:crossBetween val="midCat"/>
        <c:majorUnit val="25"/>
        <c:minorUnit val="25"/>
      </c:valAx>
      <c:valAx>
        <c:axId val="1693384543"/>
        <c:scaling>
          <c:orientation val="minMax"/>
          <c:max val="0.25"/>
        </c:scaling>
        <c:delete val="0"/>
        <c:axPos val="r"/>
        <c:numFmt formatCode="0.000" sourceLinked="1"/>
        <c:majorTickMark val="out"/>
        <c:minorTickMark val="none"/>
        <c:tickLblPos val="nextTo"/>
        <c:crossAx val="1693388287"/>
        <c:crosses val="max"/>
        <c:crossBetween val="midCat"/>
      </c:valAx>
      <c:valAx>
        <c:axId val="169338828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93384543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5"/>
          <c:order val="0"/>
          <c:tx>
            <c:v>Vт VI</c:v>
          </c:tx>
          <c:marker>
            <c:symbol val="none"/>
          </c:marker>
          <c:xVal>
            <c:numRef>
              <c:f>(РАСЧЁТЫ!$H$4,РАСЧЁТЫ!$L$4)</c:f>
              <c:numCache>
                <c:formatCode>General</c:formatCode>
                <c:ptCount val="2"/>
                <c:pt idx="0">
                  <c:v>170</c:v>
                </c:pt>
                <c:pt idx="1">
                  <c:v>248.2</c:v>
                </c:pt>
              </c:numCache>
            </c:numRef>
          </c:xVal>
          <c:yVal>
            <c:numRef>
              <c:f>РАСЧЁТЫ!$O$21:$O$22</c:f>
              <c:numCache>
                <c:formatCode>0.00</c:formatCode>
                <c:ptCount val="2"/>
                <c:pt idx="0">
                  <c:v>1.5609813084112152</c:v>
                </c:pt>
                <c:pt idx="1">
                  <c:v>2.279032710280374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7DB-4443-9949-B15629344E3F}"/>
            </c:ext>
          </c:extLst>
        </c:ser>
        <c:ser>
          <c:idx val="6"/>
          <c:order val="1"/>
          <c:tx>
            <c:v>Vт VII</c:v>
          </c:tx>
          <c:marker>
            <c:symbol val="none"/>
          </c:marker>
          <c:xVal>
            <c:numRef>
              <c:f>(РАСЧЁТЫ!$H$4,РАСЧЁТЫ!$L$4)</c:f>
              <c:numCache>
                <c:formatCode>General</c:formatCode>
                <c:ptCount val="2"/>
                <c:pt idx="0">
                  <c:v>170</c:v>
                </c:pt>
                <c:pt idx="1">
                  <c:v>248.2</c:v>
                </c:pt>
              </c:numCache>
            </c:numRef>
          </c:xVal>
          <c:yVal>
            <c:numRef>
              <c:f>РАСЧЁТЫ!$P$21:$P$22</c:f>
              <c:numCache>
                <c:formatCode>0.00</c:formatCode>
                <c:ptCount val="2"/>
                <c:pt idx="0">
                  <c:v>1.9198275862068968</c:v>
                </c:pt>
                <c:pt idx="1">
                  <c:v>2.802948275862069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7DB-4443-9949-B15629344E3F}"/>
            </c:ext>
          </c:extLst>
        </c:ser>
        <c:ser>
          <c:idx val="7"/>
          <c:order val="2"/>
          <c:tx>
            <c:strRef>
              <c:f>РАСЧЁТЫ!$Q$20</c:f>
              <c:strCache>
                <c:ptCount val="1"/>
                <c:pt idx="0">
                  <c:v>VIII</c:v>
                </c:pt>
              </c:strCache>
            </c:strRef>
          </c:tx>
          <c:marker>
            <c:symbol val="none"/>
          </c:marker>
          <c:xVal>
            <c:numRef>
              <c:f>(РАСЧЁТЫ!$H$4,РАСЧЁТЫ!$L$4)</c:f>
              <c:numCache>
                <c:formatCode>General</c:formatCode>
                <c:ptCount val="2"/>
                <c:pt idx="0">
                  <c:v>170</c:v>
                </c:pt>
                <c:pt idx="1">
                  <c:v>248.2</c:v>
                </c:pt>
              </c:numCache>
            </c:numRef>
          </c:xVal>
          <c:yVal>
            <c:numRef>
              <c:f>РАСЧЁТЫ!$Q$21:$Q$22</c:f>
              <c:numCache>
                <c:formatCode>0.00</c:formatCode>
                <c:ptCount val="2"/>
                <c:pt idx="0">
                  <c:v>2.2724489795918368</c:v>
                </c:pt>
                <c:pt idx="1">
                  <c:v>3.3177755102040813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37DB-4443-9949-B15629344E3F}"/>
            </c:ext>
          </c:extLst>
        </c:ser>
        <c:ser>
          <c:idx val="8"/>
          <c:order val="3"/>
          <c:tx>
            <c:strRef>
              <c:f>РАСЧЁТЫ!$R$20</c:f>
              <c:strCache>
                <c:ptCount val="1"/>
                <c:pt idx="0">
                  <c:v>IX</c:v>
                </c:pt>
              </c:strCache>
            </c:strRef>
          </c:tx>
          <c:marker>
            <c:symbol val="none"/>
          </c:marker>
          <c:xVal>
            <c:numRef>
              <c:f>(РАСЧЁТЫ!$H$4,РАСЧЁТЫ!$L$4)</c:f>
              <c:numCache>
                <c:formatCode>General</c:formatCode>
                <c:ptCount val="2"/>
                <c:pt idx="0">
                  <c:v>170</c:v>
                </c:pt>
                <c:pt idx="1">
                  <c:v>248.2</c:v>
                </c:pt>
              </c:numCache>
            </c:numRef>
          </c:xVal>
          <c:yVal>
            <c:numRef>
              <c:f>РАСЧЁТЫ!$R$21:$R$22</c:f>
              <c:numCache>
                <c:formatCode>0.00</c:formatCode>
                <c:ptCount val="2"/>
                <c:pt idx="0">
                  <c:v>4.2284810126582277</c:v>
                </c:pt>
                <c:pt idx="1">
                  <c:v>6.1735822784810122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37DB-4443-9949-B15629344E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104640"/>
        <c:axId val="163115008"/>
      </c:scatterChart>
      <c:valAx>
        <c:axId val="163104640"/>
        <c:scaling>
          <c:orientation val="minMax"/>
          <c:min val="15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l-GR"/>
                  <a:t>ω</a:t>
                </a:r>
                <a:r>
                  <a:rPr lang="ru-RU"/>
                  <a:t>д, рад/с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63115008"/>
        <c:crosses val="autoZero"/>
        <c:crossBetween val="midCat"/>
      </c:valAx>
      <c:valAx>
        <c:axId val="163115008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V</a:t>
                </a:r>
                <a:r>
                  <a:rPr lang="ru-RU"/>
                  <a:t>т,</a:t>
                </a:r>
                <a:r>
                  <a:rPr lang="ru-RU" baseline="0"/>
                  <a:t> м/с</a:t>
                </a:r>
                <a:endParaRPr lang="ru-RU"/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163104640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РАСЧЁТЫ!$F$5</c:f>
              <c:strCache>
                <c:ptCount val="1"/>
                <c:pt idx="0">
                  <c:v>Nд, кВт</c:v>
                </c:pt>
              </c:strCache>
            </c:strRef>
          </c:tx>
          <c:marker>
            <c:symbol val="none"/>
          </c:marker>
          <c:xVal>
            <c:numRef>
              <c:f>РАСЧЁТЫ!$G$4:$L$4</c:f>
              <c:numCache>
                <c:formatCode>General</c:formatCode>
                <c:ptCount val="6"/>
                <c:pt idx="0">
                  <c:v>163</c:v>
                </c:pt>
                <c:pt idx="1">
                  <c:v>170</c:v>
                </c:pt>
                <c:pt idx="2">
                  <c:v>190</c:v>
                </c:pt>
                <c:pt idx="3">
                  <c:v>210</c:v>
                </c:pt>
                <c:pt idx="4">
                  <c:v>230.4</c:v>
                </c:pt>
                <c:pt idx="5">
                  <c:v>248.2</c:v>
                </c:pt>
              </c:numCache>
            </c:numRef>
          </c:xVal>
          <c:yVal>
            <c:numRef>
              <c:f>РАСЧЁТЫ!$G$5:$L$5</c:f>
              <c:numCache>
                <c:formatCode>General</c:formatCode>
                <c:ptCount val="6"/>
                <c:pt idx="0">
                  <c:v>42.5</c:v>
                </c:pt>
                <c:pt idx="1">
                  <c:v>44.3</c:v>
                </c:pt>
                <c:pt idx="2">
                  <c:v>48.9</c:v>
                </c:pt>
                <c:pt idx="3">
                  <c:v>52.64</c:v>
                </c:pt>
                <c:pt idx="4">
                  <c:v>55.2</c:v>
                </c:pt>
                <c:pt idx="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3B7-4690-B9BC-DA89B770CAE8}"/>
            </c:ext>
          </c:extLst>
        </c:ser>
        <c:ser>
          <c:idx val="1"/>
          <c:order val="1"/>
          <c:tx>
            <c:v>Мд, Н*м</c:v>
          </c:tx>
          <c:marker>
            <c:symbol val="none"/>
          </c:marker>
          <c:xVal>
            <c:numRef>
              <c:f>РАСЧЁТЫ!$G$4:$L$4</c:f>
              <c:numCache>
                <c:formatCode>General</c:formatCode>
                <c:ptCount val="6"/>
                <c:pt idx="0">
                  <c:v>163</c:v>
                </c:pt>
                <c:pt idx="1">
                  <c:v>170</c:v>
                </c:pt>
                <c:pt idx="2">
                  <c:v>190</c:v>
                </c:pt>
                <c:pt idx="3">
                  <c:v>210</c:v>
                </c:pt>
                <c:pt idx="4">
                  <c:v>230.4</c:v>
                </c:pt>
                <c:pt idx="5">
                  <c:v>248.2</c:v>
                </c:pt>
              </c:numCache>
            </c:numRef>
          </c:xVal>
          <c:yVal>
            <c:numRef>
              <c:f>РАСЧЁТЫ!$G$6:$L$6</c:f>
              <c:numCache>
                <c:formatCode>General</c:formatCode>
                <c:ptCount val="6"/>
                <c:pt idx="0">
                  <c:v>261</c:v>
                </c:pt>
                <c:pt idx="1">
                  <c:v>260.5</c:v>
                </c:pt>
                <c:pt idx="2">
                  <c:v>257.39999999999998</c:v>
                </c:pt>
                <c:pt idx="3">
                  <c:v>250.7</c:v>
                </c:pt>
                <c:pt idx="4">
                  <c:v>239.3</c:v>
                </c:pt>
                <c:pt idx="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3B7-4690-B9BC-DA89B770CA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1020160"/>
        <c:axId val="221022080"/>
      </c:scatterChart>
      <c:scatterChart>
        <c:scatterStyle val="smoothMarker"/>
        <c:varyColors val="0"/>
        <c:ser>
          <c:idx val="2"/>
          <c:order val="2"/>
          <c:tx>
            <c:v>Gт, кг/ч</c:v>
          </c:tx>
          <c:marker>
            <c:symbol val="none"/>
          </c:marker>
          <c:xVal>
            <c:numRef>
              <c:f>РАСЧЁТЫ!$G$4:$L$4</c:f>
              <c:numCache>
                <c:formatCode>General</c:formatCode>
                <c:ptCount val="6"/>
                <c:pt idx="0">
                  <c:v>163</c:v>
                </c:pt>
                <c:pt idx="1">
                  <c:v>170</c:v>
                </c:pt>
                <c:pt idx="2">
                  <c:v>190</c:v>
                </c:pt>
                <c:pt idx="3">
                  <c:v>210</c:v>
                </c:pt>
                <c:pt idx="4">
                  <c:v>230.4</c:v>
                </c:pt>
                <c:pt idx="5">
                  <c:v>248.2</c:v>
                </c:pt>
              </c:numCache>
            </c:numRef>
          </c:xVal>
          <c:yVal>
            <c:numRef>
              <c:f>РАСЧЁТЫ!$G$7:$L$7</c:f>
              <c:numCache>
                <c:formatCode>General</c:formatCode>
                <c:ptCount val="6"/>
                <c:pt idx="0">
                  <c:v>10.97</c:v>
                </c:pt>
                <c:pt idx="1">
                  <c:v>11.43</c:v>
                </c:pt>
                <c:pt idx="2">
                  <c:v>12.62</c:v>
                </c:pt>
                <c:pt idx="3">
                  <c:v>13.58</c:v>
                </c:pt>
                <c:pt idx="4">
                  <c:v>14.25</c:v>
                </c:pt>
                <c:pt idx="5">
                  <c:v>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199-4FB0-A4A4-5393783D1977}"/>
            </c:ext>
          </c:extLst>
        </c:ser>
        <c:ser>
          <c:idx val="3"/>
          <c:order val="3"/>
          <c:tx>
            <c:v>Gтхх, кг/ч</c:v>
          </c:tx>
          <c:marker>
            <c:symbol val="none"/>
          </c:marker>
          <c:xVal>
            <c:numRef>
              <c:f>РАСЧЁТЫ!$G$4:$L$4</c:f>
              <c:numCache>
                <c:formatCode>General</c:formatCode>
                <c:ptCount val="6"/>
                <c:pt idx="0">
                  <c:v>163</c:v>
                </c:pt>
                <c:pt idx="1">
                  <c:v>170</c:v>
                </c:pt>
                <c:pt idx="2">
                  <c:v>190</c:v>
                </c:pt>
                <c:pt idx="3">
                  <c:v>210</c:v>
                </c:pt>
                <c:pt idx="4">
                  <c:v>230.4</c:v>
                </c:pt>
                <c:pt idx="5">
                  <c:v>248.2</c:v>
                </c:pt>
              </c:numCache>
            </c:numRef>
          </c:xVal>
          <c:yVal>
            <c:numRef>
              <c:f>РАСЧЁТЫ!$G$8:$L$8</c:f>
              <c:numCache>
                <c:formatCode>General</c:formatCode>
                <c:ptCount val="6"/>
                <c:pt idx="0">
                  <c:v>3.8</c:v>
                </c:pt>
                <c:pt idx="1">
                  <c:v>3.9</c:v>
                </c:pt>
                <c:pt idx="2">
                  <c:v>4.2</c:v>
                </c:pt>
                <c:pt idx="3">
                  <c:v>4.5</c:v>
                </c:pt>
                <c:pt idx="4">
                  <c:v>4.84</c:v>
                </c:pt>
                <c:pt idx="5">
                  <c:v>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199-4FB0-A4A4-5393783D19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7335599"/>
        <c:axId val="1441460271"/>
      </c:scatterChart>
      <c:valAx>
        <c:axId val="221020160"/>
        <c:scaling>
          <c:orientation val="minMax"/>
          <c:max val="250"/>
          <c:min val="160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crossAx val="221022080"/>
        <c:crosses val="autoZero"/>
        <c:crossBetween val="midCat"/>
      </c:valAx>
      <c:valAx>
        <c:axId val="221022080"/>
        <c:scaling>
          <c:orientation val="minMax"/>
        </c:scaling>
        <c:delete val="0"/>
        <c:axPos val="l"/>
        <c:majorGridlines/>
        <c:minorGridlines/>
        <c:numFmt formatCode="General" sourceLinked="1"/>
        <c:majorTickMark val="out"/>
        <c:minorTickMark val="none"/>
        <c:tickLblPos val="nextTo"/>
        <c:crossAx val="221020160"/>
        <c:crosses val="autoZero"/>
        <c:crossBetween val="midCat"/>
      </c:valAx>
      <c:valAx>
        <c:axId val="1441460271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687335599"/>
        <c:crosses val="max"/>
        <c:crossBetween val="midCat"/>
      </c:valAx>
      <c:valAx>
        <c:axId val="168733559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41460271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5"/>
          <c:order val="0"/>
          <c:tx>
            <c:v>VI</c:v>
          </c:tx>
          <c:marker>
            <c:symbol val="none"/>
          </c:marker>
          <c:xVal>
            <c:numRef>
              <c:f>РАСЧЁТЫ!$Z$49:$AE$49</c:f>
              <c:numCache>
                <c:formatCode>#,##0</c:formatCode>
                <c:ptCount val="6"/>
                <c:pt idx="0">
                  <c:v>-2479.9680000000003</c:v>
                </c:pt>
                <c:pt idx="1">
                  <c:v>19932.638615776079</c:v>
                </c:pt>
                <c:pt idx="2">
                  <c:v>21000.351592875315</c:v>
                </c:pt>
                <c:pt idx="3">
                  <c:v>21627.86711450381</c:v>
                </c:pt>
                <c:pt idx="4">
                  <c:v>21918.21011704834</c:v>
                </c:pt>
                <c:pt idx="5">
                  <c:v>21965.039633587781</c:v>
                </c:pt>
              </c:numCache>
            </c:numRef>
          </c:xVal>
          <c:yVal>
            <c:numRef>
              <c:f>РАСЧЁТЫ!$Z$52:$AE$52</c:f>
              <c:numCache>
                <c:formatCode>#,##0.00</c:formatCode>
                <c:ptCount val="6"/>
                <c:pt idx="0">
                  <c:v>2.279032710280374</c:v>
                </c:pt>
                <c:pt idx="1">
                  <c:v>1.8918172027268021</c:v>
                </c:pt>
                <c:pt idx="2">
                  <c:v>1.6604718184832001</c:v>
                </c:pt>
                <c:pt idx="3">
                  <c:v>1.4411158699025537</c:v>
                </c:pt>
                <c:pt idx="4">
                  <c:v>1.2443661268311663</c:v>
                </c:pt>
                <c:pt idx="5">
                  <c:v>1.1833966642142411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A4C-4710-A116-18648B5CBD92}"/>
            </c:ext>
          </c:extLst>
        </c:ser>
        <c:ser>
          <c:idx val="0"/>
          <c:order val="1"/>
          <c:tx>
            <c:v>VII</c:v>
          </c:tx>
          <c:marker>
            <c:symbol val="none"/>
          </c:marker>
          <c:xVal>
            <c:numRef>
              <c:f>РАСЧЁТЫ!$Z$57:$AE$57</c:f>
              <c:numCache>
                <c:formatCode>#,##0</c:formatCode>
                <c:ptCount val="6"/>
                <c:pt idx="0">
                  <c:v>-2479.9680000000003</c:v>
                </c:pt>
                <c:pt idx="1">
                  <c:v>15743.366351145036</c:v>
                </c:pt>
                <c:pt idx="2">
                  <c:v>16611.506809160299</c:v>
                </c:pt>
                <c:pt idx="3">
                  <c:v>17121.729709923657</c:v>
                </c:pt>
                <c:pt idx="4">
                  <c:v>17357.802992366411</c:v>
                </c:pt>
                <c:pt idx="5">
                  <c:v>17395.879328244271</c:v>
                </c:pt>
              </c:numCache>
            </c:numRef>
          </c:xVal>
          <c:yVal>
            <c:numRef>
              <c:f>РАСЧЁТЫ!$Z$60:$AE$60</c:f>
              <c:numCache>
                <c:formatCode>#,##0.00</c:formatCode>
                <c:ptCount val="6"/>
                <c:pt idx="0">
                  <c:v>2.802948275862069</c:v>
                </c:pt>
                <c:pt idx="1">
                  <c:v>2.475039249351334</c:v>
                </c:pt>
                <c:pt idx="2">
                  <c:v>2.2374618584898744</c:v>
                </c:pt>
                <c:pt idx="3">
                  <c:v>2.0131880052869762</c:v>
                </c:pt>
                <c:pt idx="4">
                  <c:v>1.796276683493454</c:v>
                </c:pt>
                <c:pt idx="5">
                  <c:v>1.7215167365711523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02F-49B3-A664-2D9DA3B4E216}"/>
            </c:ext>
          </c:extLst>
        </c:ser>
        <c:ser>
          <c:idx val="1"/>
          <c:order val="2"/>
          <c:tx>
            <c:v>VIII</c:v>
          </c:tx>
          <c:marker>
            <c:symbol val="none"/>
          </c:marker>
          <c:xVal>
            <c:numRef>
              <c:f>РАСЧЁТЫ!$Z$65:$AE$65</c:f>
              <c:numCache>
                <c:formatCode>#,##0</c:formatCode>
                <c:ptCount val="6"/>
                <c:pt idx="0">
                  <c:v>-2479.9680000000003</c:v>
                </c:pt>
                <c:pt idx="1">
                  <c:v>12915.607572519082</c:v>
                </c:pt>
                <c:pt idx="2">
                  <c:v>13649.036580152668</c:v>
                </c:pt>
                <c:pt idx="3">
                  <c:v>14080.086961832058</c:v>
                </c:pt>
                <c:pt idx="4">
                  <c:v>14279.528183206105</c:v>
                </c:pt>
                <c:pt idx="5">
                  <c:v>14311.696122137404</c:v>
                </c:pt>
              </c:numCache>
            </c:numRef>
          </c:xVal>
          <c:yVal>
            <c:numRef>
              <c:f>РАСЧЁТЫ!$AA$68:$AE$68</c:f>
              <c:numCache>
                <c:formatCode>#,##0.00</c:formatCode>
                <c:ptCount val="5"/>
                <c:pt idx="0">
                  <c:v>2.9871371022474991</c:v>
                </c:pt>
                <c:pt idx="1">
                  <c:v>2.7112136596150824</c:v>
                </c:pt>
                <c:pt idx="2">
                  <c:v>2.4463592786906134</c:v>
                </c:pt>
                <c:pt idx="3">
                  <c:v>2.1859594575620753</c:v>
                </c:pt>
                <c:pt idx="4">
                  <c:v>2.0954944729111133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02F-49B3-A664-2D9DA3B4E216}"/>
            </c:ext>
          </c:extLst>
        </c:ser>
        <c:ser>
          <c:idx val="2"/>
          <c:order val="3"/>
          <c:tx>
            <c:v>IX</c:v>
          </c:tx>
          <c:marker>
            <c:symbol val="none"/>
          </c:marker>
          <c:xVal>
            <c:numRef>
              <c:f>РАСЧЁТЫ!$Z$73:$AE$73</c:f>
              <c:numCache>
                <c:formatCode>#,##0</c:formatCode>
                <c:ptCount val="6"/>
                <c:pt idx="0">
                  <c:v>-2479.9680000000003</c:v>
                </c:pt>
                <c:pt idx="1">
                  <c:v>5793.8447226463104</c:v>
                </c:pt>
                <c:pt idx="2">
                  <c:v>6188.0004478371484</c:v>
                </c:pt>
                <c:pt idx="3">
                  <c:v>6419.6533740457999</c:v>
                </c:pt>
                <c:pt idx="4">
                  <c:v>6526.8360712468184</c:v>
                </c:pt>
                <c:pt idx="5">
                  <c:v>6544.1236030534346</c:v>
                </c:pt>
              </c:numCache>
            </c:numRef>
          </c:xVal>
          <c:yVal>
            <c:numRef>
              <c:f>РАСЧЁТЫ!$Z$76:$AE$76</c:f>
              <c:numCache>
                <c:formatCode>#,##0.00</c:formatCode>
                <c:ptCount val="6"/>
                <c:pt idx="0">
                  <c:v>6.1735822784810122</c:v>
                </c:pt>
                <c:pt idx="1">
                  <c:v>5.6920319557479626</c:v>
                </c:pt>
                <c:pt idx="2">
                  <c:v>5.1841614859521732</c:v>
                </c:pt>
                <c:pt idx="3">
                  <c:v>4.6882560760128733</c:v>
                </c:pt>
                <c:pt idx="4">
                  <c:v>4.1938298967768866</c:v>
                </c:pt>
                <c:pt idx="5">
                  <c:v>4.0209982226634491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02F-49B3-A664-2D9DA3B4E2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456128"/>
        <c:axId val="163458048"/>
      </c:scatterChart>
      <c:valAx>
        <c:axId val="163456128"/>
        <c:scaling>
          <c:orientation val="minMax"/>
          <c:min val="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</a:t>
                </a:r>
                <a:r>
                  <a:rPr lang="ru-RU"/>
                  <a:t>кр, Н</a:t>
                </a:r>
              </a:p>
            </c:rich>
          </c:tx>
          <c:layout>
            <c:manualLayout>
              <c:xMode val="edge"/>
              <c:yMode val="edge"/>
              <c:x val="0.54224478566745804"/>
              <c:y val="0.89494973054691496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163458048"/>
        <c:crosses val="autoZero"/>
        <c:crossBetween val="midCat"/>
      </c:valAx>
      <c:valAx>
        <c:axId val="163458048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V</a:t>
                </a:r>
                <a:r>
                  <a:rPr lang="ru-RU"/>
                  <a:t>,</a:t>
                </a:r>
                <a:r>
                  <a:rPr lang="ru-RU" baseline="0"/>
                  <a:t> м/с</a:t>
                </a:r>
                <a:endParaRPr lang="ru-RU"/>
              </a:p>
            </c:rich>
          </c:tx>
          <c:layout/>
          <c:overlay val="0"/>
        </c:title>
        <c:numFmt formatCode="#,##0.00" sourceLinked="1"/>
        <c:majorTickMark val="out"/>
        <c:minorTickMark val="none"/>
        <c:tickLblPos val="nextTo"/>
        <c:crossAx val="163456128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5"/>
          <c:order val="0"/>
          <c:tx>
            <c:v>VI</c:v>
          </c:tx>
          <c:marker>
            <c:symbol val="none"/>
          </c:marker>
          <c:xVal>
            <c:numRef>
              <c:f>РАСЧЁТЫ!$Z$49:$AE$49</c:f>
              <c:numCache>
                <c:formatCode>#,##0</c:formatCode>
                <c:ptCount val="6"/>
                <c:pt idx="0">
                  <c:v>-2479.9680000000003</c:v>
                </c:pt>
                <c:pt idx="1">
                  <c:v>19932.638615776079</c:v>
                </c:pt>
                <c:pt idx="2">
                  <c:v>21000.351592875315</c:v>
                </c:pt>
                <c:pt idx="3">
                  <c:v>21627.86711450381</c:v>
                </c:pt>
                <c:pt idx="4">
                  <c:v>21918.21011704834</c:v>
                </c:pt>
                <c:pt idx="5">
                  <c:v>21965.039633587781</c:v>
                </c:pt>
              </c:numCache>
            </c:numRef>
          </c:xVal>
          <c:yVal>
            <c:numRef>
              <c:f>РАСЧЁТЫ!$Z$53:$AE$53</c:f>
              <c:numCache>
                <c:formatCode>#,##0.00</c:formatCode>
                <c:ptCount val="6"/>
                <c:pt idx="0">
                  <c:v>-5.6519281924485991</c:v>
                </c:pt>
                <c:pt idx="1">
                  <c:v>37.708908629061739</c:v>
                </c:pt>
                <c:pt idx="2">
                  <c:v>34.870491998208244</c:v>
                </c:pt>
                <c:pt idx="3">
                  <c:v>31.168262530854989</c:v>
                </c:pt>
                <c:pt idx="4">
                  <c:v>27.274278230423125</c:v>
                </c:pt>
                <c:pt idx="5">
                  <c:v>25.993354631721378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994-4F81-BA2A-3558F4617619}"/>
            </c:ext>
          </c:extLst>
        </c:ser>
        <c:ser>
          <c:idx val="0"/>
          <c:order val="1"/>
          <c:tx>
            <c:v>VII</c:v>
          </c:tx>
          <c:marker>
            <c:symbol val="none"/>
          </c:marker>
          <c:xVal>
            <c:numRef>
              <c:f>РАСЧЁТЫ!$Z$57:$AE$57</c:f>
              <c:numCache>
                <c:formatCode>#,##0</c:formatCode>
                <c:ptCount val="6"/>
                <c:pt idx="0">
                  <c:v>-2479.9680000000003</c:v>
                </c:pt>
                <c:pt idx="1">
                  <c:v>15743.366351145036</c:v>
                </c:pt>
                <c:pt idx="2">
                  <c:v>16611.506809160299</c:v>
                </c:pt>
                <c:pt idx="3">
                  <c:v>17121.729709923657</c:v>
                </c:pt>
                <c:pt idx="4">
                  <c:v>17357.802992366411</c:v>
                </c:pt>
                <c:pt idx="5">
                  <c:v>17395.879328244271</c:v>
                </c:pt>
              </c:numCache>
            </c:numRef>
          </c:xVal>
          <c:yVal>
            <c:numRef>
              <c:f>РАСЧЁТЫ!$Z$61:$AE$61</c:f>
              <c:numCache>
                <c:formatCode>#,##0.00</c:formatCode>
                <c:ptCount val="6"/>
                <c:pt idx="0">
                  <c:v>-6.9512220297931044</c:v>
                </c:pt>
                <c:pt idx="1">
                  <c:v>38.965449636001061</c:v>
                </c:pt>
                <c:pt idx="2">
                  <c:v>37.167612897541005</c:v>
                </c:pt>
                <c:pt idx="3">
                  <c:v>34.469260881783967</c:v>
                </c:pt>
                <c:pt idx="4">
                  <c:v>31.179416791860689</c:v>
                </c:pt>
                <c:pt idx="5">
                  <c:v>29.947297410944646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00E-4840-BC0F-8A019DA1D579}"/>
            </c:ext>
          </c:extLst>
        </c:ser>
        <c:ser>
          <c:idx val="1"/>
          <c:order val="2"/>
          <c:tx>
            <c:v>VIII</c:v>
          </c:tx>
          <c:marker>
            <c:symbol val="none"/>
          </c:marker>
          <c:xVal>
            <c:numRef>
              <c:f>РАСЧЁТЫ!$Z$65:$AE$65</c:f>
              <c:numCache>
                <c:formatCode>#,##0</c:formatCode>
                <c:ptCount val="6"/>
                <c:pt idx="0">
                  <c:v>-2479.9680000000003</c:v>
                </c:pt>
                <c:pt idx="1">
                  <c:v>12915.607572519082</c:v>
                </c:pt>
                <c:pt idx="2">
                  <c:v>13649.036580152668</c:v>
                </c:pt>
                <c:pt idx="3">
                  <c:v>14080.086961832058</c:v>
                </c:pt>
                <c:pt idx="4">
                  <c:v>14279.528183206105</c:v>
                </c:pt>
                <c:pt idx="5">
                  <c:v>14311.696122137404</c:v>
                </c:pt>
              </c:numCache>
            </c:numRef>
          </c:xVal>
          <c:yVal>
            <c:numRef>
              <c:f>РАСЧЁТЫ!$Z$69:$AE$69</c:f>
              <c:numCache>
                <c:formatCode>#,##0.00</c:formatCode>
                <c:ptCount val="6"/>
                <c:pt idx="0">
                  <c:v>-8.2279770964897967</c:v>
                </c:pt>
                <c:pt idx="1">
                  <c:v>38.580690577940508</c:v>
                </c:pt>
                <c:pt idx="2">
                  <c:v>37.005454416695841</c:v>
                </c:pt>
                <c:pt idx="3">
                  <c:v>34.444951383848583</c:v>
                </c:pt>
                <c:pt idx="4">
                  <c:v>31.214469681603582</c:v>
                </c:pt>
                <c:pt idx="5">
                  <c:v>29.990080121922343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00E-4840-BC0F-8A019DA1D579}"/>
            </c:ext>
          </c:extLst>
        </c:ser>
        <c:ser>
          <c:idx val="2"/>
          <c:order val="3"/>
          <c:tx>
            <c:v>IX</c:v>
          </c:tx>
          <c:marker>
            <c:symbol val="none"/>
          </c:marker>
          <c:xVal>
            <c:numRef>
              <c:f>РАСЧЁТЫ!$Z$73:$AE$73</c:f>
              <c:numCache>
                <c:formatCode>#,##0</c:formatCode>
                <c:ptCount val="6"/>
                <c:pt idx="0">
                  <c:v>-2479.9680000000003</c:v>
                </c:pt>
                <c:pt idx="1">
                  <c:v>5793.8447226463104</c:v>
                </c:pt>
                <c:pt idx="2">
                  <c:v>6188.0004478371484</c:v>
                </c:pt>
                <c:pt idx="3">
                  <c:v>6419.6533740457999</c:v>
                </c:pt>
                <c:pt idx="4">
                  <c:v>6526.8360712468184</c:v>
                </c:pt>
                <c:pt idx="5">
                  <c:v>6544.1236030534346</c:v>
                </c:pt>
              </c:numCache>
            </c:numRef>
          </c:xVal>
          <c:yVal>
            <c:numRef>
              <c:f>РАСЧЁТЫ!$Z$77:$AE$77</c:f>
              <c:numCache>
                <c:formatCode>#,##0.00</c:formatCode>
                <c:ptCount val="6"/>
                <c:pt idx="0">
                  <c:v>-15.310286496</c:v>
                </c:pt>
                <c:pt idx="1">
                  <c:v>32.97874930794449</c:v>
                </c:pt>
                <c:pt idx="2">
                  <c:v>32.079593596732145</c:v>
                </c:pt>
                <c:pt idx="3">
                  <c:v>30.096978936766764</c:v>
                </c:pt>
                <c:pt idx="4">
                  <c:v>27.372440246956703</c:v>
                </c:pt>
                <c:pt idx="5">
                  <c:v>26.313909376767789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00E-4840-BC0F-8A019DA1D5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504896"/>
        <c:axId val="163506816"/>
      </c:scatterChart>
      <c:valAx>
        <c:axId val="163504896"/>
        <c:scaling>
          <c:orientation val="minMax"/>
          <c:min val="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</a:t>
                </a:r>
                <a:r>
                  <a:rPr lang="ru-RU"/>
                  <a:t>кр,</a:t>
                </a:r>
                <a:r>
                  <a:rPr lang="ru-RU" baseline="0"/>
                  <a:t> Н</a:t>
                </a:r>
                <a:endParaRPr lang="ru-RU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crossAx val="163506816"/>
        <c:crosses val="autoZero"/>
        <c:crossBetween val="midCat"/>
      </c:valAx>
      <c:valAx>
        <c:axId val="163506816"/>
        <c:scaling>
          <c:orientation val="minMax"/>
          <c:min val="0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N</a:t>
                </a:r>
                <a:r>
                  <a:rPr lang="ru-RU"/>
                  <a:t>кр,</a:t>
                </a:r>
                <a:r>
                  <a:rPr lang="ru-RU" baseline="0"/>
                  <a:t> кВт</a:t>
                </a:r>
                <a:endParaRPr lang="ru-RU"/>
              </a:p>
            </c:rich>
          </c:tx>
          <c:layout/>
          <c:overlay val="0"/>
        </c:title>
        <c:numFmt formatCode="#,##0.00" sourceLinked="1"/>
        <c:majorTickMark val="out"/>
        <c:minorTickMark val="none"/>
        <c:tickLblPos val="nextTo"/>
        <c:crossAx val="163504896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5"/>
          <c:order val="0"/>
          <c:tx>
            <c:v>VI</c:v>
          </c:tx>
          <c:marker>
            <c:symbol val="none"/>
          </c:marker>
          <c:xVal>
            <c:numRef>
              <c:f>РАСЧЁТЫ!$AA$49:$AE$49</c:f>
              <c:numCache>
                <c:formatCode>#,##0</c:formatCode>
                <c:ptCount val="5"/>
                <c:pt idx="0">
                  <c:v>19932.638615776079</c:v>
                </c:pt>
                <c:pt idx="1">
                  <c:v>21000.351592875315</c:v>
                </c:pt>
                <c:pt idx="2">
                  <c:v>21627.86711450381</c:v>
                </c:pt>
                <c:pt idx="3">
                  <c:v>21918.21011704834</c:v>
                </c:pt>
                <c:pt idx="4">
                  <c:v>21965.039633587781</c:v>
                </c:pt>
              </c:numCache>
            </c:numRef>
          </c:xVal>
          <c:yVal>
            <c:numRef>
              <c:f>РАСЧЁТЫ!$AA$54:$AE$54</c:f>
              <c:numCache>
                <c:formatCode>#,##0.00</c:formatCode>
                <c:ptCount val="5"/>
                <c:pt idx="0">
                  <c:v>377.89478714899008</c:v>
                </c:pt>
                <c:pt idx="1">
                  <c:v>389.44102081203164</c:v>
                </c:pt>
                <c:pt idx="2">
                  <c:v>404.89905356472292</c:v>
                </c:pt>
                <c:pt idx="3">
                  <c:v>419.07616778838877</c:v>
                </c:pt>
                <c:pt idx="4">
                  <c:v>422.03094427114064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7E2-4864-B014-7671DB4972C0}"/>
            </c:ext>
          </c:extLst>
        </c:ser>
        <c:ser>
          <c:idx val="0"/>
          <c:order val="1"/>
          <c:tx>
            <c:v>VII</c:v>
          </c:tx>
          <c:marker>
            <c:symbol val="none"/>
          </c:marker>
          <c:xVal>
            <c:numRef>
              <c:f>РАСЧЁТЫ!$AA$57:$AE$57</c:f>
              <c:numCache>
                <c:formatCode>#,##0</c:formatCode>
                <c:ptCount val="5"/>
                <c:pt idx="0">
                  <c:v>15743.366351145036</c:v>
                </c:pt>
                <c:pt idx="1">
                  <c:v>16611.506809160299</c:v>
                </c:pt>
                <c:pt idx="2">
                  <c:v>17121.729709923657</c:v>
                </c:pt>
                <c:pt idx="3">
                  <c:v>17357.802992366411</c:v>
                </c:pt>
                <c:pt idx="4">
                  <c:v>17395.879328244271</c:v>
                </c:pt>
              </c:numCache>
            </c:numRef>
          </c:xVal>
          <c:yVal>
            <c:numRef>
              <c:f>РАСЧЁТЫ!$AA$62:$AE$62</c:f>
              <c:numCache>
                <c:formatCode>#,##0.00</c:formatCode>
                <c:ptCount val="5"/>
                <c:pt idx="0">
                  <c:v>365.70859910812123</c:v>
                </c:pt>
                <c:pt idx="1">
                  <c:v>365.37186387072086</c:v>
                </c:pt>
                <c:pt idx="2">
                  <c:v>366.12331326980421</c:v>
                </c:pt>
                <c:pt idx="3">
                  <c:v>366.58799862426463</c:v>
                </c:pt>
                <c:pt idx="4">
                  <c:v>366.31018316834377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DAE-44A2-86DC-5B18260B62EA}"/>
            </c:ext>
          </c:extLst>
        </c:ser>
        <c:ser>
          <c:idx val="1"/>
          <c:order val="2"/>
          <c:tx>
            <c:v>VIII</c:v>
          </c:tx>
          <c:marker>
            <c:symbol val="none"/>
          </c:marker>
          <c:xVal>
            <c:numRef>
              <c:f>РАСЧЁТЫ!$AA$65:$AE$65</c:f>
              <c:numCache>
                <c:formatCode>#,##0</c:formatCode>
                <c:ptCount val="5"/>
                <c:pt idx="0">
                  <c:v>12915.607572519082</c:v>
                </c:pt>
                <c:pt idx="1">
                  <c:v>13649.036580152668</c:v>
                </c:pt>
                <c:pt idx="2">
                  <c:v>14080.086961832058</c:v>
                </c:pt>
                <c:pt idx="3">
                  <c:v>14279.528183206105</c:v>
                </c:pt>
                <c:pt idx="4">
                  <c:v>14311.696122137404</c:v>
                </c:pt>
              </c:numCache>
            </c:numRef>
          </c:xVal>
          <c:yVal>
            <c:numRef>
              <c:f>РАСЧЁТЫ!$AA$70:$AE$70</c:f>
              <c:numCache>
                <c:formatCode>#,##0.00</c:formatCode>
                <c:ptCount val="5"/>
                <c:pt idx="0">
                  <c:v>369.35575249002414</c:v>
                </c:pt>
                <c:pt idx="1">
                  <c:v>366.97292910077272</c:v>
                </c:pt>
                <c:pt idx="2">
                  <c:v>366.38170451642975</c:v>
                </c:pt>
                <c:pt idx="3">
                  <c:v>366.17633157280045</c:v>
                </c:pt>
                <c:pt idx="4">
                  <c:v>365.78761895274425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DAE-44A2-86DC-5B18260B62EA}"/>
            </c:ext>
          </c:extLst>
        </c:ser>
        <c:ser>
          <c:idx val="2"/>
          <c:order val="3"/>
          <c:tx>
            <c:v>IX</c:v>
          </c:tx>
          <c:marker>
            <c:symbol val="none"/>
          </c:marker>
          <c:xVal>
            <c:numRef>
              <c:f>РАСЧЁТЫ!$AA$73:$AE$73</c:f>
              <c:numCache>
                <c:formatCode>#,##0</c:formatCode>
                <c:ptCount val="5"/>
                <c:pt idx="0">
                  <c:v>5793.8447226463104</c:v>
                </c:pt>
                <c:pt idx="1">
                  <c:v>6188.0004478371484</c:v>
                </c:pt>
                <c:pt idx="2">
                  <c:v>6419.6533740457999</c:v>
                </c:pt>
                <c:pt idx="3">
                  <c:v>6526.8360712468184</c:v>
                </c:pt>
                <c:pt idx="4">
                  <c:v>6544.1236030534346</c:v>
                </c:pt>
              </c:numCache>
            </c:numRef>
          </c:xVal>
          <c:yVal>
            <c:numRef>
              <c:f>РАСЧЁТЫ!$AA$78:$AE$78</c:f>
              <c:numCache>
                <c:formatCode>#,##0.00</c:formatCode>
                <c:ptCount val="5"/>
                <c:pt idx="0">
                  <c:v>432.09643479618597</c:v>
                </c:pt>
                <c:pt idx="1">
                  <c:v>423.32207105589254</c:v>
                </c:pt>
                <c:pt idx="2">
                  <c:v>419.3111882263799</c:v>
                </c:pt>
                <c:pt idx="3">
                  <c:v>417.57329258471208</c:v>
                </c:pt>
                <c:pt idx="4">
                  <c:v>416.8897841415108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DAE-44A2-86DC-5B18260B6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868672"/>
        <c:axId val="163870592"/>
      </c:scatterChart>
      <c:valAx>
        <c:axId val="163868672"/>
        <c:scaling>
          <c:orientation val="minMax"/>
          <c:min val="5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</a:t>
                </a:r>
                <a:r>
                  <a:rPr lang="ru-RU"/>
                  <a:t>кр,</a:t>
                </a:r>
                <a:r>
                  <a:rPr lang="ru-RU" baseline="0"/>
                  <a:t> Н</a:t>
                </a:r>
                <a:endParaRPr lang="ru-RU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crossAx val="163870592"/>
        <c:crosses val="autoZero"/>
        <c:crossBetween val="midCat"/>
      </c:valAx>
      <c:valAx>
        <c:axId val="163870592"/>
        <c:scaling>
          <c:orientation val="minMax"/>
          <c:max val="600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g</a:t>
                </a:r>
                <a:r>
                  <a:rPr lang="ru-RU"/>
                  <a:t>т,</a:t>
                </a:r>
                <a:r>
                  <a:rPr lang="ru-RU" baseline="0"/>
                  <a:t> г/кВт*ч</a:t>
                </a:r>
                <a:endParaRPr lang="ru-RU"/>
              </a:p>
            </c:rich>
          </c:tx>
          <c:layout/>
          <c:overlay val="0"/>
        </c:title>
        <c:numFmt formatCode="#,##0.00" sourceLinked="1"/>
        <c:majorTickMark val="out"/>
        <c:minorTickMark val="none"/>
        <c:tickLblPos val="nextTo"/>
        <c:crossAx val="163868672"/>
        <c:crosses val="autoZero"/>
        <c:crossBetween val="midCat"/>
      </c:valAx>
      <c:spPr>
        <a:noFill/>
        <a:ln w="25400">
          <a:noFill/>
        </a:ln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5"/>
          <c:order val="0"/>
          <c:tx>
            <c:v>VI</c:v>
          </c:tx>
          <c:marker>
            <c:symbol val="none"/>
          </c:marker>
          <c:xVal>
            <c:numRef>
              <c:f>РАСЧЁТЫ!$AA$49:$AE$49</c:f>
              <c:numCache>
                <c:formatCode>#,##0</c:formatCode>
                <c:ptCount val="5"/>
                <c:pt idx="0">
                  <c:v>19932.638615776079</c:v>
                </c:pt>
                <c:pt idx="1">
                  <c:v>21000.351592875315</c:v>
                </c:pt>
                <c:pt idx="2">
                  <c:v>21627.86711450381</c:v>
                </c:pt>
                <c:pt idx="3">
                  <c:v>21918.21011704834</c:v>
                </c:pt>
                <c:pt idx="4">
                  <c:v>21965.039633587781</c:v>
                </c:pt>
              </c:numCache>
            </c:numRef>
          </c:xVal>
          <c:yVal>
            <c:numRef>
              <c:f>РАСЧЁТЫ!$AA$55:$AE$55</c:f>
              <c:numCache>
                <c:formatCode>#,##0.00</c:formatCode>
                <c:ptCount val="5"/>
                <c:pt idx="0">
                  <c:v>0.68313240270039377</c:v>
                </c:pt>
                <c:pt idx="1">
                  <c:v>0.66243335862857611</c:v>
                </c:pt>
                <c:pt idx="2">
                  <c:v>0.63738778181707545</c:v>
                </c:pt>
                <c:pt idx="3">
                  <c:v>0.61567219481767776</c:v>
                </c:pt>
                <c:pt idx="4">
                  <c:v>0.61160834427579713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781-4EAA-BB2C-592BEB53DE77}"/>
            </c:ext>
          </c:extLst>
        </c:ser>
        <c:ser>
          <c:idx val="0"/>
          <c:order val="1"/>
          <c:tx>
            <c:v>VII</c:v>
          </c:tx>
          <c:marker>
            <c:symbol val="none"/>
          </c:marker>
          <c:xVal>
            <c:numRef>
              <c:f>РАСЧЁТЫ!$AA$57:$AE$57</c:f>
              <c:numCache>
                <c:formatCode>#,##0</c:formatCode>
                <c:ptCount val="5"/>
                <c:pt idx="0">
                  <c:v>15743.366351145036</c:v>
                </c:pt>
                <c:pt idx="1">
                  <c:v>16611.506809160299</c:v>
                </c:pt>
                <c:pt idx="2">
                  <c:v>17121.729709923657</c:v>
                </c:pt>
                <c:pt idx="3">
                  <c:v>17357.802992366411</c:v>
                </c:pt>
                <c:pt idx="4">
                  <c:v>17395.879328244271</c:v>
                </c:pt>
              </c:numCache>
            </c:numRef>
          </c:xVal>
          <c:yVal>
            <c:numRef>
              <c:f>РАСЧЁТЫ!$AA$63:$AE$63</c:f>
              <c:numCache>
                <c:formatCode>#,##0.00</c:formatCode>
                <c:ptCount val="5"/>
                <c:pt idx="0">
                  <c:v>0.70589582673914963</c:v>
                </c:pt>
                <c:pt idx="1">
                  <c:v>0.70607167358550538</c:v>
                </c:pt>
                <c:pt idx="2">
                  <c:v>0.70489286056817935</c:v>
                </c:pt>
                <c:pt idx="3">
                  <c:v>0.70382430681401109</c:v>
                </c:pt>
                <c:pt idx="4">
                  <c:v>0.70464229202222695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361-42F9-9CB2-CBACEE9BFD12}"/>
            </c:ext>
          </c:extLst>
        </c:ser>
        <c:ser>
          <c:idx val="1"/>
          <c:order val="2"/>
          <c:tx>
            <c:v>VIII</c:v>
          </c:tx>
          <c:marker>
            <c:symbol val="none"/>
          </c:marker>
          <c:xVal>
            <c:numRef>
              <c:f>РАСЧЁТЫ!$AA$65:$AE$65</c:f>
              <c:numCache>
                <c:formatCode>#,##0</c:formatCode>
                <c:ptCount val="5"/>
                <c:pt idx="0">
                  <c:v>12915.607572519082</c:v>
                </c:pt>
                <c:pt idx="1">
                  <c:v>13649.036580152668</c:v>
                </c:pt>
                <c:pt idx="2">
                  <c:v>14080.086961832058</c:v>
                </c:pt>
                <c:pt idx="3">
                  <c:v>14279.528183206105</c:v>
                </c:pt>
                <c:pt idx="4">
                  <c:v>14311.696122137404</c:v>
                </c:pt>
              </c:numCache>
            </c:numRef>
          </c:xVal>
          <c:yVal>
            <c:numRef>
              <c:f>РАСЧЁТЫ!$AA$71:$AE$71</c:f>
              <c:numCache>
                <c:formatCode>#,##0.00</c:formatCode>
                <c:ptCount val="5"/>
                <c:pt idx="0">
                  <c:v>0.69892555394819755</c:v>
                </c:pt>
                <c:pt idx="1">
                  <c:v>0.70299115533236778</c:v>
                </c:pt>
                <c:pt idx="2">
                  <c:v>0.70439573382103449</c:v>
                </c:pt>
                <c:pt idx="3">
                  <c:v>0.70461556843348949</c:v>
                </c:pt>
                <c:pt idx="4">
                  <c:v>0.7056489440452316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361-42F9-9CB2-CBACEE9BFD12}"/>
            </c:ext>
          </c:extLst>
        </c:ser>
        <c:ser>
          <c:idx val="2"/>
          <c:order val="3"/>
          <c:tx>
            <c:v>IX</c:v>
          </c:tx>
          <c:marker>
            <c:symbol val="none"/>
          </c:marker>
          <c:xVal>
            <c:numRef>
              <c:f>РАСЧЁТЫ!$AA$73:$AE$73</c:f>
              <c:numCache>
                <c:formatCode>#,##0</c:formatCode>
                <c:ptCount val="5"/>
                <c:pt idx="0">
                  <c:v>5793.8447226463104</c:v>
                </c:pt>
                <c:pt idx="1">
                  <c:v>6188.0004478371484</c:v>
                </c:pt>
                <c:pt idx="2">
                  <c:v>6419.6533740457999</c:v>
                </c:pt>
                <c:pt idx="3">
                  <c:v>6526.8360712468184</c:v>
                </c:pt>
                <c:pt idx="4">
                  <c:v>6544.1236030534346</c:v>
                </c:pt>
              </c:numCache>
            </c:numRef>
          </c:xVal>
          <c:yVal>
            <c:numRef>
              <c:f>РАСЧЁТЫ!$AA$79:$AE$79</c:f>
              <c:numCache>
                <c:formatCode>#,##0.00</c:formatCode>
                <c:ptCount val="5"/>
                <c:pt idx="0">
                  <c:v>0.59744111065116823</c:v>
                </c:pt>
                <c:pt idx="1">
                  <c:v>0.60941477197439486</c:v>
                </c:pt>
                <c:pt idx="2">
                  <c:v>0.61548014185617106</c:v>
                </c:pt>
                <c:pt idx="3">
                  <c:v>0.61788804169202494</c:v>
                </c:pt>
                <c:pt idx="4">
                  <c:v>0.61915080886512441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361-42F9-9CB2-CBACEE9BFD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595392"/>
        <c:axId val="163597312"/>
      </c:scatterChart>
      <c:valAx>
        <c:axId val="163595392"/>
        <c:scaling>
          <c:orientation val="minMax"/>
          <c:min val="5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</a:t>
                </a:r>
                <a:r>
                  <a:rPr lang="ru-RU"/>
                  <a:t>кр,</a:t>
                </a:r>
                <a:r>
                  <a:rPr lang="ru-RU" baseline="0"/>
                  <a:t> Н</a:t>
                </a:r>
                <a:endParaRPr lang="ru-RU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crossAx val="163597312"/>
        <c:crosses val="autoZero"/>
        <c:crossBetween val="midCat"/>
      </c:valAx>
      <c:valAx>
        <c:axId val="163597312"/>
        <c:scaling>
          <c:orientation val="minMax"/>
          <c:min val="0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l-GR"/>
                  <a:t>η</a:t>
                </a:r>
                <a:r>
                  <a:rPr lang="ru-RU"/>
                  <a:t>т</a:t>
                </a:r>
              </a:p>
            </c:rich>
          </c:tx>
          <c:layout/>
          <c:overlay val="0"/>
        </c:title>
        <c:numFmt formatCode="#,##0.00" sourceLinked="1"/>
        <c:majorTickMark val="out"/>
        <c:minorTickMark val="none"/>
        <c:tickLblPos val="nextTo"/>
        <c:crossAx val="163595392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РАСЧЁТЫ!$F$5</c:f>
              <c:strCache>
                <c:ptCount val="1"/>
                <c:pt idx="0">
                  <c:v>Nд, кВт</c:v>
                </c:pt>
              </c:strCache>
            </c:strRef>
          </c:tx>
          <c:marker>
            <c:symbol val="none"/>
          </c:marker>
          <c:xVal>
            <c:numRef>
              <c:f>РАСЧЁТЫ!$G$4:$L$4</c:f>
              <c:numCache>
                <c:formatCode>General</c:formatCode>
                <c:ptCount val="6"/>
                <c:pt idx="0">
                  <c:v>163</c:v>
                </c:pt>
                <c:pt idx="1">
                  <c:v>170</c:v>
                </c:pt>
                <c:pt idx="2">
                  <c:v>190</c:v>
                </c:pt>
                <c:pt idx="3">
                  <c:v>210</c:v>
                </c:pt>
                <c:pt idx="4">
                  <c:v>230.4</c:v>
                </c:pt>
                <c:pt idx="5">
                  <c:v>248.2</c:v>
                </c:pt>
              </c:numCache>
            </c:numRef>
          </c:xVal>
          <c:yVal>
            <c:numRef>
              <c:f>РАСЧЁТЫ!$G$5:$L$5</c:f>
              <c:numCache>
                <c:formatCode>General</c:formatCode>
                <c:ptCount val="6"/>
                <c:pt idx="0">
                  <c:v>42.5</c:v>
                </c:pt>
                <c:pt idx="1">
                  <c:v>44.3</c:v>
                </c:pt>
                <c:pt idx="2">
                  <c:v>48.9</c:v>
                </c:pt>
                <c:pt idx="3">
                  <c:v>52.64</c:v>
                </c:pt>
                <c:pt idx="4">
                  <c:v>55.2</c:v>
                </c:pt>
                <c:pt idx="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305-4787-B0DE-5B2FAFD5C6D6}"/>
            </c:ext>
          </c:extLst>
        </c:ser>
        <c:ser>
          <c:idx val="1"/>
          <c:order val="1"/>
          <c:tx>
            <c:v>Мд, Н*м</c:v>
          </c:tx>
          <c:marker>
            <c:symbol val="none"/>
          </c:marker>
          <c:xVal>
            <c:numRef>
              <c:f>РАСЧЁТЫ!$G$4:$L$4</c:f>
              <c:numCache>
                <c:formatCode>General</c:formatCode>
                <c:ptCount val="6"/>
                <c:pt idx="0">
                  <c:v>163</c:v>
                </c:pt>
                <c:pt idx="1">
                  <c:v>170</c:v>
                </c:pt>
                <c:pt idx="2">
                  <c:v>190</c:v>
                </c:pt>
                <c:pt idx="3">
                  <c:v>210</c:v>
                </c:pt>
                <c:pt idx="4">
                  <c:v>230.4</c:v>
                </c:pt>
                <c:pt idx="5">
                  <c:v>248.2</c:v>
                </c:pt>
              </c:numCache>
            </c:numRef>
          </c:xVal>
          <c:yVal>
            <c:numRef>
              <c:f>РАСЧЁТЫ!$G$6:$L$6</c:f>
              <c:numCache>
                <c:formatCode>General</c:formatCode>
                <c:ptCount val="6"/>
                <c:pt idx="0">
                  <c:v>261</c:v>
                </c:pt>
                <c:pt idx="1">
                  <c:v>260.5</c:v>
                </c:pt>
                <c:pt idx="2">
                  <c:v>257.39999999999998</c:v>
                </c:pt>
                <c:pt idx="3">
                  <c:v>250.7</c:v>
                </c:pt>
                <c:pt idx="4">
                  <c:v>239.3</c:v>
                </c:pt>
                <c:pt idx="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305-4787-B0DE-5B2FAFD5C6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1020160"/>
        <c:axId val="221022080"/>
      </c:scatterChart>
      <c:scatterChart>
        <c:scatterStyle val="smoothMarker"/>
        <c:varyColors val="0"/>
        <c:ser>
          <c:idx val="2"/>
          <c:order val="2"/>
          <c:tx>
            <c:v>Gт, кг/ч</c:v>
          </c:tx>
          <c:marker>
            <c:symbol val="none"/>
          </c:marker>
          <c:xVal>
            <c:numRef>
              <c:f>РАСЧЁТЫ!$G$4:$L$4</c:f>
              <c:numCache>
                <c:formatCode>General</c:formatCode>
                <c:ptCount val="6"/>
                <c:pt idx="0">
                  <c:v>163</c:v>
                </c:pt>
                <c:pt idx="1">
                  <c:v>170</c:v>
                </c:pt>
                <c:pt idx="2">
                  <c:v>190</c:v>
                </c:pt>
                <c:pt idx="3">
                  <c:v>210</c:v>
                </c:pt>
                <c:pt idx="4">
                  <c:v>230.4</c:v>
                </c:pt>
                <c:pt idx="5">
                  <c:v>248.2</c:v>
                </c:pt>
              </c:numCache>
            </c:numRef>
          </c:xVal>
          <c:yVal>
            <c:numRef>
              <c:f>РАСЧЁТЫ!$G$7:$L$7</c:f>
              <c:numCache>
                <c:formatCode>General</c:formatCode>
                <c:ptCount val="6"/>
                <c:pt idx="0">
                  <c:v>10.97</c:v>
                </c:pt>
                <c:pt idx="1">
                  <c:v>11.43</c:v>
                </c:pt>
                <c:pt idx="2">
                  <c:v>12.62</c:v>
                </c:pt>
                <c:pt idx="3">
                  <c:v>13.58</c:v>
                </c:pt>
                <c:pt idx="4">
                  <c:v>14.25</c:v>
                </c:pt>
                <c:pt idx="5">
                  <c:v>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305-4787-B0DE-5B2FAFD5C6D6}"/>
            </c:ext>
          </c:extLst>
        </c:ser>
        <c:ser>
          <c:idx val="3"/>
          <c:order val="3"/>
          <c:tx>
            <c:v>Gтхх, кг/ч</c:v>
          </c:tx>
          <c:marker>
            <c:symbol val="none"/>
          </c:marker>
          <c:xVal>
            <c:numRef>
              <c:f>РАСЧЁТЫ!$G$4:$L$4</c:f>
              <c:numCache>
                <c:formatCode>General</c:formatCode>
                <c:ptCount val="6"/>
                <c:pt idx="0">
                  <c:v>163</c:v>
                </c:pt>
                <c:pt idx="1">
                  <c:v>170</c:v>
                </c:pt>
                <c:pt idx="2">
                  <c:v>190</c:v>
                </c:pt>
                <c:pt idx="3">
                  <c:v>210</c:v>
                </c:pt>
                <c:pt idx="4">
                  <c:v>230.4</c:v>
                </c:pt>
                <c:pt idx="5">
                  <c:v>248.2</c:v>
                </c:pt>
              </c:numCache>
            </c:numRef>
          </c:xVal>
          <c:yVal>
            <c:numRef>
              <c:f>РАСЧЁТЫ!$G$8:$L$8</c:f>
              <c:numCache>
                <c:formatCode>General</c:formatCode>
                <c:ptCount val="6"/>
                <c:pt idx="0">
                  <c:v>3.8</c:v>
                </c:pt>
                <c:pt idx="1">
                  <c:v>3.9</c:v>
                </c:pt>
                <c:pt idx="2">
                  <c:v>4.2</c:v>
                </c:pt>
                <c:pt idx="3">
                  <c:v>4.5</c:v>
                </c:pt>
                <c:pt idx="4">
                  <c:v>4.84</c:v>
                </c:pt>
                <c:pt idx="5">
                  <c:v>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305-4787-B0DE-5B2FAFD5C6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7335599"/>
        <c:axId val="1441460271"/>
      </c:scatterChart>
      <c:valAx>
        <c:axId val="221020160"/>
        <c:scaling>
          <c:orientation val="minMax"/>
          <c:max val="250"/>
          <c:min val="16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l-GR"/>
                  <a:t>ω</a:t>
                </a:r>
                <a:r>
                  <a:rPr lang="ru-RU"/>
                  <a:t>д, рад/с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21022080"/>
        <c:crosses val="autoZero"/>
        <c:crossBetween val="midCat"/>
      </c:valAx>
      <c:valAx>
        <c:axId val="221022080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N</a:t>
                </a:r>
                <a:r>
                  <a:rPr lang="ru-RU"/>
                  <a:t>д, кВт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21020160"/>
        <c:crosses val="autoZero"/>
        <c:crossBetween val="midCat"/>
      </c:valAx>
      <c:valAx>
        <c:axId val="1441460271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687335599"/>
        <c:crosses val="max"/>
        <c:crossBetween val="midCat"/>
      </c:valAx>
      <c:valAx>
        <c:axId val="168733559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41460271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5"/>
          <c:order val="0"/>
          <c:tx>
            <c:v>Vт VI</c:v>
          </c:tx>
          <c:marker>
            <c:symbol val="none"/>
          </c:marker>
          <c:xVal>
            <c:numRef>
              <c:f>(РАСЧЁТЫ!$H$4,РАСЧЁТЫ!$L$4)</c:f>
              <c:numCache>
                <c:formatCode>General</c:formatCode>
                <c:ptCount val="2"/>
                <c:pt idx="0">
                  <c:v>170</c:v>
                </c:pt>
                <c:pt idx="1">
                  <c:v>248.2</c:v>
                </c:pt>
              </c:numCache>
            </c:numRef>
          </c:xVal>
          <c:yVal>
            <c:numRef>
              <c:f>РАСЧЁТЫ!$O$21:$O$22</c:f>
              <c:numCache>
                <c:formatCode>0.00</c:formatCode>
                <c:ptCount val="2"/>
                <c:pt idx="0">
                  <c:v>1.5609813084112152</c:v>
                </c:pt>
                <c:pt idx="1">
                  <c:v>2.279032710280374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4A8-41ED-BC89-883C83D04DE8}"/>
            </c:ext>
          </c:extLst>
        </c:ser>
        <c:ser>
          <c:idx val="6"/>
          <c:order val="1"/>
          <c:tx>
            <c:v>Vт VII</c:v>
          </c:tx>
          <c:marker>
            <c:symbol val="none"/>
          </c:marker>
          <c:xVal>
            <c:numRef>
              <c:f>(РАСЧЁТЫ!$H$4,РАСЧЁТЫ!$L$4)</c:f>
              <c:numCache>
                <c:formatCode>General</c:formatCode>
                <c:ptCount val="2"/>
                <c:pt idx="0">
                  <c:v>170</c:v>
                </c:pt>
                <c:pt idx="1">
                  <c:v>248.2</c:v>
                </c:pt>
              </c:numCache>
            </c:numRef>
          </c:xVal>
          <c:yVal>
            <c:numRef>
              <c:f>РАСЧЁТЫ!$P$21:$P$22</c:f>
              <c:numCache>
                <c:formatCode>0.00</c:formatCode>
                <c:ptCount val="2"/>
                <c:pt idx="0">
                  <c:v>1.9198275862068968</c:v>
                </c:pt>
                <c:pt idx="1">
                  <c:v>2.802948275862069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4A8-41ED-BC89-883C83D04DE8}"/>
            </c:ext>
          </c:extLst>
        </c:ser>
        <c:ser>
          <c:idx val="7"/>
          <c:order val="2"/>
          <c:tx>
            <c:strRef>
              <c:f>РАСЧЁТЫ!$Q$20</c:f>
              <c:strCache>
                <c:ptCount val="1"/>
                <c:pt idx="0">
                  <c:v>VIII</c:v>
                </c:pt>
              </c:strCache>
            </c:strRef>
          </c:tx>
          <c:marker>
            <c:symbol val="none"/>
          </c:marker>
          <c:xVal>
            <c:numRef>
              <c:f>(РАСЧЁТЫ!$H$4,РАСЧЁТЫ!$L$4)</c:f>
              <c:numCache>
                <c:formatCode>General</c:formatCode>
                <c:ptCount val="2"/>
                <c:pt idx="0">
                  <c:v>170</c:v>
                </c:pt>
                <c:pt idx="1">
                  <c:v>248.2</c:v>
                </c:pt>
              </c:numCache>
            </c:numRef>
          </c:xVal>
          <c:yVal>
            <c:numRef>
              <c:f>РАСЧЁТЫ!$Q$21:$Q$22</c:f>
              <c:numCache>
                <c:formatCode>0.00</c:formatCode>
                <c:ptCount val="2"/>
                <c:pt idx="0">
                  <c:v>2.2724489795918368</c:v>
                </c:pt>
                <c:pt idx="1">
                  <c:v>3.3177755102040813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4A8-41ED-BC89-883C83D04DE8}"/>
            </c:ext>
          </c:extLst>
        </c:ser>
        <c:ser>
          <c:idx val="8"/>
          <c:order val="3"/>
          <c:tx>
            <c:strRef>
              <c:f>РАСЧЁТЫ!$R$20</c:f>
              <c:strCache>
                <c:ptCount val="1"/>
                <c:pt idx="0">
                  <c:v>IX</c:v>
                </c:pt>
              </c:strCache>
            </c:strRef>
          </c:tx>
          <c:marker>
            <c:symbol val="none"/>
          </c:marker>
          <c:xVal>
            <c:numRef>
              <c:f>(РАСЧЁТЫ!$H$4,РАСЧЁТЫ!$L$4)</c:f>
              <c:numCache>
                <c:formatCode>General</c:formatCode>
                <c:ptCount val="2"/>
                <c:pt idx="0">
                  <c:v>170</c:v>
                </c:pt>
                <c:pt idx="1">
                  <c:v>248.2</c:v>
                </c:pt>
              </c:numCache>
            </c:numRef>
          </c:xVal>
          <c:yVal>
            <c:numRef>
              <c:f>РАСЧЁТЫ!$R$21:$R$22</c:f>
              <c:numCache>
                <c:formatCode>0.00</c:formatCode>
                <c:ptCount val="2"/>
                <c:pt idx="0">
                  <c:v>4.2284810126582277</c:v>
                </c:pt>
                <c:pt idx="1">
                  <c:v>6.1735822784810122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4A8-41ED-BC89-883C83D04D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104640"/>
        <c:axId val="163115008"/>
      </c:scatterChart>
      <c:valAx>
        <c:axId val="163104640"/>
        <c:scaling>
          <c:orientation val="minMax"/>
          <c:min val="15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l-GR"/>
                  <a:t>ω</a:t>
                </a:r>
                <a:r>
                  <a:rPr lang="ru-RU"/>
                  <a:t>д, рад/с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63115008"/>
        <c:crosses val="autoZero"/>
        <c:crossBetween val="midCat"/>
      </c:valAx>
      <c:valAx>
        <c:axId val="163115008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V</a:t>
                </a:r>
                <a:r>
                  <a:rPr lang="ru-RU"/>
                  <a:t>т,</a:t>
                </a:r>
                <a:r>
                  <a:rPr lang="ru-RU" baseline="0"/>
                  <a:t> м/с</a:t>
                </a:r>
                <a:endParaRPr lang="ru-RU"/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163104640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3785946820173148E-2"/>
          <c:y val="1.2781088039964359E-2"/>
          <c:w val="0.89328036748185724"/>
          <c:h val="0.82942800087667756"/>
        </c:manualLayout>
      </c:layout>
      <c:scatterChart>
        <c:scatterStyle val="smoothMarker"/>
        <c:varyColors val="0"/>
        <c:ser>
          <c:idx val="5"/>
          <c:order val="0"/>
          <c:tx>
            <c:v>Pk VI</c:v>
          </c:tx>
          <c:xVal>
            <c:numRef>
              <c:f>(РАСЧЁТЫ!$U$34,РАСЧЁТЫ!$O$33)</c:f>
              <c:numCache>
                <c:formatCode>General</c:formatCode>
                <c:ptCount val="2"/>
                <c:pt idx="0">
                  <c:v>0</c:v>
                </c:pt>
                <c:pt idx="1">
                  <c:v>260.5</c:v>
                </c:pt>
              </c:numCache>
            </c:numRef>
          </c:xVal>
          <c:yVal>
            <c:numRef>
              <c:f>(РАСЧЁТЫ!$U$34,РАСЧЁТЫ!$O$34)</c:f>
              <c:numCache>
                <c:formatCode>0</c:formatCode>
                <c:ptCount val="2"/>
                <c:pt idx="0" formatCode="General">
                  <c:v>0</c:v>
                </c:pt>
                <c:pt idx="1">
                  <c:v>24.398178117048342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124-46FA-9630-B24FAA75865A}"/>
            </c:ext>
          </c:extLst>
        </c:ser>
        <c:ser>
          <c:idx val="0"/>
          <c:order val="1"/>
          <c:tx>
            <c:v>Pk VII</c:v>
          </c:tx>
          <c:marker>
            <c:symbol val="none"/>
          </c:marker>
          <c:xVal>
            <c:numRef>
              <c:f>(РАСЧЁТЫ!$U$34,РАСЧЁТЫ!$P$33)</c:f>
              <c:numCache>
                <c:formatCode>General</c:formatCode>
                <c:ptCount val="2"/>
                <c:pt idx="0">
                  <c:v>0</c:v>
                </c:pt>
                <c:pt idx="1">
                  <c:v>260.5</c:v>
                </c:pt>
              </c:numCache>
            </c:numRef>
          </c:xVal>
          <c:yVal>
            <c:numRef>
              <c:f>(РАСЧЁТЫ!$U$34,РАСЧЁТЫ!$P$34)</c:f>
              <c:numCache>
                <c:formatCode>0</c:formatCode>
                <c:ptCount val="2"/>
                <c:pt idx="0" formatCode="General">
                  <c:v>0</c:v>
                </c:pt>
                <c:pt idx="1">
                  <c:v>19.837770992366412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124-46FA-9630-B24FAA75865A}"/>
            </c:ext>
          </c:extLst>
        </c:ser>
        <c:ser>
          <c:idx val="1"/>
          <c:order val="2"/>
          <c:tx>
            <c:v>Pk VIII</c:v>
          </c:tx>
          <c:marker>
            <c:symbol val="none"/>
          </c:marker>
          <c:xVal>
            <c:numRef>
              <c:f>(РАСЧЁТЫ!$U$34,РАСЧЁТЫ!$Q$33)</c:f>
              <c:numCache>
                <c:formatCode>General</c:formatCode>
                <c:ptCount val="2"/>
                <c:pt idx="0">
                  <c:v>0</c:v>
                </c:pt>
                <c:pt idx="1">
                  <c:v>260.5</c:v>
                </c:pt>
              </c:numCache>
            </c:numRef>
          </c:xVal>
          <c:yVal>
            <c:numRef>
              <c:f>(РАСЧЁТЫ!$U$34,РАСЧЁТЫ!$Q$34)</c:f>
              <c:numCache>
                <c:formatCode>0</c:formatCode>
                <c:ptCount val="2"/>
                <c:pt idx="0" formatCode="General">
                  <c:v>0</c:v>
                </c:pt>
                <c:pt idx="1">
                  <c:v>16.759496183206107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124-46FA-9630-B24FAA75865A}"/>
            </c:ext>
          </c:extLst>
        </c:ser>
        <c:ser>
          <c:idx val="2"/>
          <c:order val="3"/>
          <c:tx>
            <c:v>Pk IX</c:v>
          </c:tx>
          <c:marker>
            <c:symbol val="none"/>
          </c:marker>
          <c:xVal>
            <c:numRef>
              <c:f>(РАСЧЁТЫ!$U$34,РАСЧЁТЫ!$R$33)</c:f>
              <c:numCache>
                <c:formatCode>General</c:formatCode>
                <c:ptCount val="2"/>
                <c:pt idx="0">
                  <c:v>0</c:v>
                </c:pt>
                <c:pt idx="1">
                  <c:v>260.5</c:v>
                </c:pt>
              </c:numCache>
            </c:numRef>
          </c:xVal>
          <c:yVal>
            <c:numRef>
              <c:f>(РАСЧЁТЫ!$U$34,РАСЧЁТЫ!$R$34)</c:f>
              <c:numCache>
                <c:formatCode>0</c:formatCode>
                <c:ptCount val="2"/>
                <c:pt idx="0" formatCode="General">
                  <c:v>0</c:v>
                </c:pt>
                <c:pt idx="1">
                  <c:v>9.0068040712468189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124-46FA-9630-B24FAA7586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332096"/>
        <c:axId val="163334400"/>
      </c:scatterChart>
      <c:scatterChart>
        <c:scatterStyle val="lineMarker"/>
        <c:varyColors val="0"/>
        <c:ser>
          <c:idx val="7"/>
          <c:order val="4"/>
          <c:tx>
            <c:strRef>
              <c:f>РАСЧЁТЫ!$H$25</c:f>
              <c:strCache>
                <c:ptCount val="1"/>
                <c:pt idx="0">
                  <c:v>δ</c:v>
                </c:pt>
              </c:strCache>
            </c:strRef>
          </c:tx>
          <c:spPr>
            <a:ln w="25400">
              <a:noFill/>
            </a:ln>
          </c:spPr>
          <c:marker>
            <c:spPr>
              <a:solidFill>
                <a:schemeClr val="accent6"/>
              </a:solidFill>
              <a:ln w="38100">
                <a:solidFill>
                  <a:schemeClr val="accent6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РАСЧЁТЫ!$O$36:$R$36</c:f>
              <c:numCache>
                <c:formatCode>General</c:formatCode>
                <c:ptCount val="4"/>
                <c:pt idx="0">
                  <c:v>24.398178117048342</c:v>
                </c:pt>
                <c:pt idx="1">
                  <c:v>19.837770992366412</c:v>
                </c:pt>
                <c:pt idx="2">
                  <c:v>16.759496183206107</c:v>
                </c:pt>
                <c:pt idx="3">
                  <c:v>9.0068040712468189</c:v>
                </c:pt>
              </c:numCache>
            </c:numRef>
          </c:xVal>
          <c:yVal>
            <c:numRef>
              <c:f>РАСЧЁТЫ!$O$32:$R$32</c:f>
              <c:numCache>
                <c:formatCode>0.000</c:formatCode>
                <c:ptCount val="4"/>
                <c:pt idx="0">
                  <c:v>0.20283086022490779</c:v>
                </c:pt>
                <c:pt idx="1">
                  <c:v>6.4355207520248564E-2</c:v>
                </c:pt>
                <c:pt idx="2">
                  <c:v>3.8060050107393904E-2</c:v>
                </c:pt>
                <c:pt idx="3">
                  <c:v>8.1946958677622129E-3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124-46FA-9630-B24FAA7586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3388287"/>
        <c:axId val="1693384543"/>
      </c:scatterChart>
      <c:scatterChart>
        <c:scatterStyle val="smoothMarker"/>
        <c:varyColors val="0"/>
        <c:ser>
          <c:idx val="3"/>
          <c:order val="5"/>
          <c:tx>
            <c:strRef>
              <c:f>РАСЧЁТЫ!$I$35</c:f>
              <c:strCache>
                <c:ptCount val="1"/>
                <c:pt idx="0">
                  <c:v>δдоп</c:v>
                </c:pt>
              </c:strCache>
            </c:strRef>
          </c:tx>
          <c:marker>
            <c:symbol val="none"/>
          </c:marker>
          <c:xVal>
            <c:numRef>
              <c:f>РАСЧЁТЫ!$J$34:$U$34</c:f>
              <c:numCache>
                <c:formatCode>0</c:formatCode>
                <c:ptCount val="12"/>
                <c:pt idx="0">
                  <c:v>126.00974936386768</c:v>
                </c:pt>
                <c:pt idx="1">
                  <c:v>70.600802798982187</c:v>
                </c:pt>
                <c:pt idx="2">
                  <c:v>41.499704834605595</c:v>
                </c:pt>
                <c:pt idx="3">
                  <c:v>33.804017811704831</c:v>
                </c:pt>
                <c:pt idx="4">
                  <c:v>28.531047073791346</c:v>
                </c:pt>
                <c:pt idx="5">
                  <c:v>24.398178117048342</c:v>
                </c:pt>
                <c:pt idx="6">
                  <c:v>19.837770992366412</c:v>
                </c:pt>
                <c:pt idx="7">
                  <c:v>16.759496183206107</c:v>
                </c:pt>
                <c:pt idx="8">
                  <c:v>9.0068040712468189</c:v>
                </c:pt>
                <c:pt idx="9">
                  <c:v>57.062094147582691</c:v>
                </c:pt>
                <c:pt idx="10">
                  <c:v>33.518992366412213</c:v>
                </c:pt>
                <c:pt idx="11" formatCode="General">
                  <c:v>0</c:v>
                </c:pt>
              </c:numCache>
            </c:numRef>
          </c:xVal>
          <c:yVal>
            <c:numRef>
              <c:f>РАСЧЁТЫ!$J$35:$U$35</c:f>
              <c:numCache>
                <c:formatCode>General</c:formatCode>
                <c:ptCount val="12"/>
                <c:pt idx="0">
                  <c:v>0.16</c:v>
                </c:pt>
                <c:pt idx="1">
                  <c:v>0.16</c:v>
                </c:pt>
                <c:pt idx="2">
                  <c:v>0.16</c:v>
                </c:pt>
                <c:pt idx="3">
                  <c:v>0.16</c:v>
                </c:pt>
                <c:pt idx="4">
                  <c:v>0.16</c:v>
                </c:pt>
                <c:pt idx="5">
                  <c:v>0.16</c:v>
                </c:pt>
                <c:pt idx="6">
                  <c:v>0.16</c:v>
                </c:pt>
                <c:pt idx="7">
                  <c:v>0.16</c:v>
                </c:pt>
                <c:pt idx="8">
                  <c:v>0.16</c:v>
                </c:pt>
                <c:pt idx="9">
                  <c:v>0.16</c:v>
                </c:pt>
                <c:pt idx="10">
                  <c:v>0.16</c:v>
                </c:pt>
                <c:pt idx="11">
                  <c:v>0.16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124-46FA-9630-B24FAA7586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3388287"/>
        <c:axId val="1693384543"/>
      </c:scatterChart>
      <c:valAx>
        <c:axId val="163332096"/>
        <c:scaling>
          <c:orientation val="minMax"/>
          <c:max val="50"/>
          <c:min val="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Мд, Н*м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63334400"/>
        <c:crosses val="autoZero"/>
        <c:crossBetween val="midCat"/>
        <c:majorUnit val="10"/>
      </c:valAx>
      <c:valAx>
        <c:axId val="163334400"/>
        <c:scaling>
          <c:orientation val="minMax"/>
          <c:max val="3"/>
          <c:min val="0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Pk,</a:t>
                </a:r>
                <a:r>
                  <a:rPr lang="ru-RU" baseline="0"/>
                  <a:t> кН</a:t>
                </a:r>
                <a:endParaRPr lang="ru-RU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63332096"/>
        <c:crosses val="autoZero"/>
        <c:crossBetween val="midCat"/>
        <c:majorUnit val="25"/>
        <c:minorUnit val="25"/>
      </c:valAx>
      <c:valAx>
        <c:axId val="1693384543"/>
        <c:scaling>
          <c:orientation val="minMax"/>
          <c:max val="0.25"/>
        </c:scaling>
        <c:delete val="0"/>
        <c:axPos val="r"/>
        <c:numFmt formatCode="0.000" sourceLinked="1"/>
        <c:majorTickMark val="out"/>
        <c:minorTickMark val="none"/>
        <c:tickLblPos val="nextTo"/>
        <c:crossAx val="1693388287"/>
        <c:crosses val="max"/>
        <c:crossBetween val="midCat"/>
      </c:valAx>
      <c:valAx>
        <c:axId val="169338828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93384543"/>
        <c:crosses val="autoZero"/>
        <c:crossBetween val="midCat"/>
      </c:valAx>
    </c:plotArea>
    <c:legend>
      <c:legendPos val="b"/>
      <c:layout>
        <c:manualLayout>
          <c:xMode val="edge"/>
          <c:yMode val="edge"/>
          <c:x val="0.15811512794561203"/>
          <c:y val="0.84519460574998684"/>
          <c:w val="0.68376974410877589"/>
          <c:h val="0.115195912550997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190500</xdr:colOff>
      <xdr:row>47</xdr:row>
      <xdr:rowOff>28575</xdr:rowOff>
    </xdr:from>
    <xdr:ext cx="914400" cy="264560"/>
    <xdr:sp macro="" textlink="">
      <xdr:nvSpPr>
        <xdr:cNvPr id="7" name="TextBox 6"/>
        <xdr:cNvSpPr txBox="1"/>
      </xdr:nvSpPr>
      <xdr:spPr>
        <a:xfrm>
          <a:off x="5953125" y="862965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4</xdr:col>
      <xdr:colOff>190500</xdr:colOff>
      <xdr:row>55</xdr:row>
      <xdr:rowOff>28575</xdr:rowOff>
    </xdr:from>
    <xdr:ext cx="914400" cy="264560"/>
    <xdr:sp macro="" textlink="">
      <xdr:nvSpPr>
        <xdr:cNvPr id="8" name="TextBox 7"/>
        <xdr:cNvSpPr txBox="1"/>
      </xdr:nvSpPr>
      <xdr:spPr>
        <a:xfrm>
          <a:off x="5953125" y="862965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4</xdr:col>
      <xdr:colOff>190500</xdr:colOff>
      <xdr:row>63</xdr:row>
      <xdr:rowOff>28575</xdr:rowOff>
    </xdr:from>
    <xdr:ext cx="914400" cy="264560"/>
    <xdr:sp macro="" textlink="">
      <xdr:nvSpPr>
        <xdr:cNvPr id="9" name="TextBox 8"/>
        <xdr:cNvSpPr txBox="1"/>
      </xdr:nvSpPr>
      <xdr:spPr>
        <a:xfrm>
          <a:off x="5953125" y="1015365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4</xdr:col>
      <xdr:colOff>190500</xdr:colOff>
      <xdr:row>87</xdr:row>
      <xdr:rowOff>28575</xdr:rowOff>
    </xdr:from>
    <xdr:ext cx="914400" cy="264560"/>
    <xdr:sp macro="" textlink="">
      <xdr:nvSpPr>
        <xdr:cNvPr id="10" name="TextBox 9"/>
        <xdr:cNvSpPr txBox="1"/>
      </xdr:nvSpPr>
      <xdr:spPr>
        <a:xfrm>
          <a:off x="5953125" y="1015365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4</xdr:col>
      <xdr:colOff>190500</xdr:colOff>
      <xdr:row>95</xdr:row>
      <xdr:rowOff>28575</xdr:rowOff>
    </xdr:from>
    <xdr:ext cx="914400" cy="264560"/>
    <xdr:sp macro="" textlink="">
      <xdr:nvSpPr>
        <xdr:cNvPr id="11" name="TextBox 10"/>
        <xdr:cNvSpPr txBox="1"/>
      </xdr:nvSpPr>
      <xdr:spPr>
        <a:xfrm>
          <a:off x="5953125" y="1015365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4</xdr:col>
      <xdr:colOff>190500</xdr:colOff>
      <xdr:row>103</xdr:row>
      <xdr:rowOff>28575</xdr:rowOff>
    </xdr:from>
    <xdr:ext cx="914400" cy="264560"/>
    <xdr:sp macro="" textlink="">
      <xdr:nvSpPr>
        <xdr:cNvPr id="12" name="TextBox 11"/>
        <xdr:cNvSpPr txBox="1"/>
      </xdr:nvSpPr>
      <xdr:spPr>
        <a:xfrm>
          <a:off x="5953125" y="1015365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4</xdr:col>
      <xdr:colOff>190500</xdr:colOff>
      <xdr:row>111</xdr:row>
      <xdr:rowOff>28575</xdr:rowOff>
    </xdr:from>
    <xdr:ext cx="914400" cy="264560"/>
    <xdr:sp macro="" textlink="">
      <xdr:nvSpPr>
        <xdr:cNvPr id="13" name="TextBox 12"/>
        <xdr:cNvSpPr txBox="1"/>
      </xdr:nvSpPr>
      <xdr:spPr>
        <a:xfrm>
          <a:off x="5953125" y="1015365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9</xdr:row>
      <xdr:rowOff>28575</xdr:rowOff>
    </xdr:from>
    <xdr:ext cx="914400" cy="436786"/>
    <xdr:sp macro="" textlink="">
      <xdr:nvSpPr>
        <xdr:cNvPr id="14" name="TextBox 13"/>
        <xdr:cNvSpPr txBox="1"/>
      </xdr:nvSpPr>
      <xdr:spPr>
        <a:xfrm>
          <a:off x="17930813" y="2012950"/>
          <a:ext cx="91440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  <a:p>
          <a:endParaRPr lang="ru-RU" sz="1100"/>
        </a:p>
      </xdr:txBody>
    </xdr:sp>
    <xdr:clientData/>
  </xdr:oneCellAnchor>
  <xdr:oneCellAnchor>
    <xdr:from>
      <xdr:col>23</xdr:col>
      <xdr:colOff>190500</xdr:colOff>
      <xdr:row>17</xdr:row>
      <xdr:rowOff>28575</xdr:rowOff>
    </xdr:from>
    <xdr:ext cx="914400" cy="264560"/>
    <xdr:sp macro="" textlink="">
      <xdr:nvSpPr>
        <xdr:cNvPr id="15" name="TextBox 14"/>
        <xdr:cNvSpPr txBox="1"/>
      </xdr:nvSpPr>
      <xdr:spPr>
        <a:xfrm>
          <a:off x="5956300" y="104171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33</xdr:row>
      <xdr:rowOff>28575</xdr:rowOff>
    </xdr:from>
    <xdr:ext cx="914400" cy="264560"/>
    <xdr:sp macro="" textlink="">
      <xdr:nvSpPr>
        <xdr:cNvPr id="17" name="TextBox 16"/>
        <xdr:cNvSpPr txBox="1"/>
      </xdr:nvSpPr>
      <xdr:spPr>
        <a:xfrm>
          <a:off x="5956300" y="134651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41</xdr:row>
      <xdr:rowOff>28575</xdr:rowOff>
    </xdr:from>
    <xdr:ext cx="914400" cy="264560"/>
    <xdr:sp macro="" textlink="">
      <xdr:nvSpPr>
        <xdr:cNvPr id="18" name="TextBox 17"/>
        <xdr:cNvSpPr txBox="1"/>
      </xdr:nvSpPr>
      <xdr:spPr>
        <a:xfrm>
          <a:off x="5956300" y="149891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49</xdr:row>
      <xdr:rowOff>28575</xdr:rowOff>
    </xdr:from>
    <xdr:ext cx="914400" cy="264560"/>
    <xdr:sp macro="" textlink="">
      <xdr:nvSpPr>
        <xdr:cNvPr id="19" name="TextBox 18"/>
        <xdr:cNvSpPr txBox="1"/>
      </xdr:nvSpPr>
      <xdr:spPr>
        <a:xfrm>
          <a:off x="5956300" y="165131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57</xdr:row>
      <xdr:rowOff>28575</xdr:rowOff>
    </xdr:from>
    <xdr:ext cx="914400" cy="264560"/>
    <xdr:sp macro="" textlink="">
      <xdr:nvSpPr>
        <xdr:cNvPr id="20" name="TextBox 19"/>
        <xdr:cNvSpPr txBox="1"/>
      </xdr:nvSpPr>
      <xdr:spPr>
        <a:xfrm>
          <a:off x="5956300" y="180371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81</xdr:row>
      <xdr:rowOff>28575</xdr:rowOff>
    </xdr:from>
    <xdr:ext cx="914400" cy="264560"/>
    <xdr:sp macro="" textlink="">
      <xdr:nvSpPr>
        <xdr:cNvPr id="21" name="TextBox 20"/>
        <xdr:cNvSpPr txBox="1"/>
      </xdr:nvSpPr>
      <xdr:spPr>
        <a:xfrm>
          <a:off x="15801975" y="114204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absoluteAnchor>
    <xdr:pos x="5521325" y="8467725"/>
    <xdr:ext cx="11995150" cy="6063803"/>
    <xdr:graphicFrame macro="">
      <xdr:nvGraphicFramePr>
        <xdr:cNvPr id="22" name="Диаграмма 2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24104600" y="977901"/>
    <xdr:ext cx="6049963" cy="3998912"/>
    <xdr:graphicFrame macro="">
      <xdr:nvGraphicFramePr>
        <xdr:cNvPr id="23" name="Диаграмма 22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absoluteAnchor>
    <xdr:pos x="285750" y="8477250"/>
    <xdr:ext cx="5573712" cy="3219449"/>
    <xdr:graphicFrame macro="">
      <xdr:nvGraphicFramePr>
        <xdr:cNvPr id="24" name="Диаграмма 23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absoluteAnchor>
  <xdr:absoluteAnchor>
    <xdr:pos x="30186313" y="841375"/>
    <xdr:ext cx="5683250" cy="4056063"/>
    <xdr:graphicFrame macro="">
      <xdr:nvGraphicFramePr>
        <xdr:cNvPr id="26" name="Диаграмма 25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absoluteAnchor>
    <xdr:pos x="24257000" y="5070475"/>
    <xdr:ext cx="5937249" cy="4033837"/>
    <xdr:graphicFrame macro="">
      <xdr:nvGraphicFramePr>
        <xdr:cNvPr id="27" name="Диаграмма 26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absoluteAnchor>
  <xdr:absoluteAnchor>
    <xdr:pos x="30273625" y="4949825"/>
    <xdr:ext cx="5643563" cy="4162425"/>
    <xdr:graphicFrame macro="">
      <xdr:nvGraphicFramePr>
        <xdr:cNvPr id="28" name="Диаграмма 27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absoluteAnchor>
  <xdr:absoluteAnchor>
    <xdr:pos x="24225250" y="9178926"/>
    <xdr:ext cx="5992813" cy="3981450"/>
    <xdr:graphicFrame macro="">
      <xdr:nvGraphicFramePr>
        <xdr:cNvPr id="29" name="Диаграмма 28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absoluteAnchor>
  <xdr:oneCellAnchor>
    <xdr:from>
      <xdr:col>23</xdr:col>
      <xdr:colOff>190500</xdr:colOff>
      <xdr:row>65</xdr:row>
      <xdr:rowOff>28575</xdr:rowOff>
    </xdr:from>
    <xdr:ext cx="914400" cy="264560"/>
    <xdr:sp macro="" textlink="">
      <xdr:nvSpPr>
        <xdr:cNvPr id="30" name="TextBox 29"/>
        <xdr:cNvSpPr txBox="1"/>
      </xdr:nvSpPr>
      <xdr:spPr>
        <a:xfrm>
          <a:off x="17818100" y="118776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73</xdr:row>
      <xdr:rowOff>28575</xdr:rowOff>
    </xdr:from>
    <xdr:ext cx="914400" cy="264560"/>
    <xdr:sp macro="" textlink="">
      <xdr:nvSpPr>
        <xdr:cNvPr id="31" name="TextBox 30"/>
        <xdr:cNvSpPr txBox="1"/>
      </xdr:nvSpPr>
      <xdr:spPr>
        <a:xfrm>
          <a:off x="17818100" y="118776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89</xdr:row>
      <xdr:rowOff>28575</xdr:rowOff>
    </xdr:from>
    <xdr:ext cx="914400" cy="264560"/>
    <xdr:sp macro="" textlink="">
      <xdr:nvSpPr>
        <xdr:cNvPr id="32" name="TextBox 31"/>
        <xdr:cNvSpPr txBox="1"/>
      </xdr:nvSpPr>
      <xdr:spPr>
        <a:xfrm>
          <a:off x="17818100" y="164496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65</xdr:row>
      <xdr:rowOff>28575</xdr:rowOff>
    </xdr:from>
    <xdr:ext cx="914400" cy="264560"/>
    <xdr:sp macro="" textlink="">
      <xdr:nvSpPr>
        <xdr:cNvPr id="33" name="TextBox 32"/>
        <xdr:cNvSpPr txBox="1"/>
      </xdr:nvSpPr>
      <xdr:spPr>
        <a:xfrm>
          <a:off x="17818100" y="118776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73</xdr:row>
      <xdr:rowOff>28575</xdr:rowOff>
    </xdr:from>
    <xdr:ext cx="914400" cy="264560"/>
    <xdr:sp macro="" textlink="">
      <xdr:nvSpPr>
        <xdr:cNvPr id="34" name="TextBox 33"/>
        <xdr:cNvSpPr txBox="1"/>
      </xdr:nvSpPr>
      <xdr:spPr>
        <a:xfrm>
          <a:off x="17818100" y="118776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89</xdr:row>
      <xdr:rowOff>28575</xdr:rowOff>
    </xdr:from>
    <xdr:ext cx="914400" cy="264560"/>
    <xdr:sp macro="" textlink="">
      <xdr:nvSpPr>
        <xdr:cNvPr id="35" name="TextBox 34"/>
        <xdr:cNvSpPr txBox="1"/>
      </xdr:nvSpPr>
      <xdr:spPr>
        <a:xfrm>
          <a:off x="17818100" y="164496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25</xdr:row>
      <xdr:rowOff>28575</xdr:rowOff>
    </xdr:from>
    <xdr:ext cx="914400" cy="264560"/>
    <xdr:sp macro="" textlink="">
      <xdr:nvSpPr>
        <xdr:cNvPr id="36" name="TextBox 35"/>
        <xdr:cNvSpPr txBox="1"/>
      </xdr:nvSpPr>
      <xdr:spPr>
        <a:xfrm>
          <a:off x="17818100" y="3616326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25</xdr:row>
      <xdr:rowOff>28575</xdr:rowOff>
    </xdr:from>
    <xdr:ext cx="914400" cy="264560"/>
    <xdr:sp macro="" textlink="">
      <xdr:nvSpPr>
        <xdr:cNvPr id="37" name="TextBox 36"/>
        <xdr:cNvSpPr txBox="1"/>
      </xdr:nvSpPr>
      <xdr:spPr>
        <a:xfrm>
          <a:off x="17818100" y="3616326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25</xdr:row>
      <xdr:rowOff>28575</xdr:rowOff>
    </xdr:from>
    <xdr:ext cx="914400" cy="264560"/>
    <xdr:sp macro="" textlink="">
      <xdr:nvSpPr>
        <xdr:cNvPr id="44" name="TextBox 43"/>
        <xdr:cNvSpPr txBox="1"/>
      </xdr:nvSpPr>
      <xdr:spPr>
        <a:xfrm>
          <a:off x="17818100" y="5203826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25</xdr:row>
      <xdr:rowOff>28575</xdr:rowOff>
    </xdr:from>
    <xdr:ext cx="914400" cy="264560"/>
    <xdr:sp macro="" textlink="">
      <xdr:nvSpPr>
        <xdr:cNvPr id="45" name="TextBox 44"/>
        <xdr:cNvSpPr txBox="1"/>
      </xdr:nvSpPr>
      <xdr:spPr>
        <a:xfrm>
          <a:off x="17818100" y="5203826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33</xdr:row>
      <xdr:rowOff>28575</xdr:rowOff>
    </xdr:from>
    <xdr:ext cx="914400" cy="264560"/>
    <xdr:sp macro="" textlink="">
      <xdr:nvSpPr>
        <xdr:cNvPr id="46" name="TextBox 45"/>
        <xdr:cNvSpPr txBox="1"/>
      </xdr:nvSpPr>
      <xdr:spPr>
        <a:xfrm>
          <a:off x="17818100" y="5203826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33</xdr:row>
      <xdr:rowOff>28575</xdr:rowOff>
    </xdr:from>
    <xdr:ext cx="914400" cy="264560"/>
    <xdr:sp macro="" textlink="">
      <xdr:nvSpPr>
        <xdr:cNvPr id="47" name="TextBox 46"/>
        <xdr:cNvSpPr txBox="1"/>
      </xdr:nvSpPr>
      <xdr:spPr>
        <a:xfrm>
          <a:off x="17818100" y="5203826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33</xdr:row>
      <xdr:rowOff>28575</xdr:rowOff>
    </xdr:from>
    <xdr:ext cx="914400" cy="264560"/>
    <xdr:sp macro="" textlink="">
      <xdr:nvSpPr>
        <xdr:cNvPr id="48" name="TextBox 47"/>
        <xdr:cNvSpPr txBox="1"/>
      </xdr:nvSpPr>
      <xdr:spPr>
        <a:xfrm>
          <a:off x="17818100" y="5203826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33</xdr:row>
      <xdr:rowOff>28575</xdr:rowOff>
    </xdr:from>
    <xdr:ext cx="914400" cy="264560"/>
    <xdr:sp macro="" textlink="">
      <xdr:nvSpPr>
        <xdr:cNvPr id="49" name="TextBox 48"/>
        <xdr:cNvSpPr txBox="1"/>
      </xdr:nvSpPr>
      <xdr:spPr>
        <a:xfrm>
          <a:off x="17818100" y="5203826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33</xdr:row>
      <xdr:rowOff>28575</xdr:rowOff>
    </xdr:from>
    <xdr:ext cx="914400" cy="264560"/>
    <xdr:sp macro="" textlink="">
      <xdr:nvSpPr>
        <xdr:cNvPr id="50" name="TextBox 49"/>
        <xdr:cNvSpPr txBox="1"/>
      </xdr:nvSpPr>
      <xdr:spPr>
        <a:xfrm>
          <a:off x="17818100" y="5203826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33</xdr:row>
      <xdr:rowOff>28575</xdr:rowOff>
    </xdr:from>
    <xdr:ext cx="914400" cy="264560"/>
    <xdr:sp macro="" textlink="">
      <xdr:nvSpPr>
        <xdr:cNvPr id="51" name="TextBox 50"/>
        <xdr:cNvSpPr txBox="1"/>
      </xdr:nvSpPr>
      <xdr:spPr>
        <a:xfrm>
          <a:off x="17818100" y="5203826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33</xdr:row>
      <xdr:rowOff>28575</xdr:rowOff>
    </xdr:from>
    <xdr:ext cx="914400" cy="264560"/>
    <xdr:sp macro="" textlink="">
      <xdr:nvSpPr>
        <xdr:cNvPr id="52" name="TextBox 51"/>
        <xdr:cNvSpPr txBox="1"/>
      </xdr:nvSpPr>
      <xdr:spPr>
        <a:xfrm>
          <a:off x="17818100" y="5203826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33</xdr:row>
      <xdr:rowOff>28575</xdr:rowOff>
    </xdr:from>
    <xdr:ext cx="914400" cy="264560"/>
    <xdr:sp macro="" textlink="">
      <xdr:nvSpPr>
        <xdr:cNvPr id="53" name="TextBox 52"/>
        <xdr:cNvSpPr txBox="1"/>
      </xdr:nvSpPr>
      <xdr:spPr>
        <a:xfrm>
          <a:off x="17818100" y="5203826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41</xdr:row>
      <xdr:rowOff>28575</xdr:rowOff>
    </xdr:from>
    <xdr:ext cx="914400" cy="264560"/>
    <xdr:sp macro="" textlink="">
      <xdr:nvSpPr>
        <xdr:cNvPr id="54" name="TextBox 53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41</xdr:row>
      <xdr:rowOff>28575</xdr:rowOff>
    </xdr:from>
    <xdr:ext cx="914400" cy="264560"/>
    <xdr:sp macro="" textlink="">
      <xdr:nvSpPr>
        <xdr:cNvPr id="55" name="TextBox 54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41</xdr:row>
      <xdr:rowOff>28575</xdr:rowOff>
    </xdr:from>
    <xdr:ext cx="914400" cy="264560"/>
    <xdr:sp macro="" textlink="">
      <xdr:nvSpPr>
        <xdr:cNvPr id="56" name="TextBox 55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41</xdr:row>
      <xdr:rowOff>28575</xdr:rowOff>
    </xdr:from>
    <xdr:ext cx="914400" cy="264560"/>
    <xdr:sp macro="" textlink="">
      <xdr:nvSpPr>
        <xdr:cNvPr id="57" name="TextBox 56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41</xdr:row>
      <xdr:rowOff>28575</xdr:rowOff>
    </xdr:from>
    <xdr:ext cx="914400" cy="264560"/>
    <xdr:sp macro="" textlink="">
      <xdr:nvSpPr>
        <xdr:cNvPr id="58" name="TextBox 57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41</xdr:row>
      <xdr:rowOff>28575</xdr:rowOff>
    </xdr:from>
    <xdr:ext cx="914400" cy="264560"/>
    <xdr:sp macro="" textlink="">
      <xdr:nvSpPr>
        <xdr:cNvPr id="59" name="TextBox 58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41</xdr:row>
      <xdr:rowOff>28575</xdr:rowOff>
    </xdr:from>
    <xdr:ext cx="914400" cy="264560"/>
    <xdr:sp macro="" textlink="">
      <xdr:nvSpPr>
        <xdr:cNvPr id="60" name="TextBox 59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41</xdr:row>
      <xdr:rowOff>28575</xdr:rowOff>
    </xdr:from>
    <xdr:ext cx="914400" cy="264560"/>
    <xdr:sp macro="" textlink="">
      <xdr:nvSpPr>
        <xdr:cNvPr id="61" name="TextBox 60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41</xdr:row>
      <xdr:rowOff>28575</xdr:rowOff>
    </xdr:from>
    <xdr:ext cx="914400" cy="264560"/>
    <xdr:sp macro="" textlink="">
      <xdr:nvSpPr>
        <xdr:cNvPr id="62" name="TextBox 61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49</xdr:row>
      <xdr:rowOff>28575</xdr:rowOff>
    </xdr:from>
    <xdr:ext cx="914400" cy="264560"/>
    <xdr:sp macro="" textlink="">
      <xdr:nvSpPr>
        <xdr:cNvPr id="63" name="TextBox 62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49</xdr:row>
      <xdr:rowOff>28575</xdr:rowOff>
    </xdr:from>
    <xdr:ext cx="914400" cy="264560"/>
    <xdr:sp macro="" textlink="">
      <xdr:nvSpPr>
        <xdr:cNvPr id="64" name="TextBox 63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49</xdr:row>
      <xdr:rowOff>28575</xdr:rowOff>
    </xdr:from>
    <xdr:ext cx="914400" cy="264560"/>
    <xdr:sp macro="" textlink="">
      <xdr:nvSpPr>
        <xdr:cNvPr id="65" name="TextBox 64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49</xdr:row>
      <xdr:rowOff>28575</xdr:rowOff>
    </xdr:from>
    <xdr:ext cx="914400" cy="264560"/>
    <xdr:sp macro="" textlink="">
      <xdr:nvSpPr>
        <xdr:cNvPr id="66" name="TextBox 65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49</xdr:row>
      <xdr:rowOff>28575</xdr:rowOff>
    </xdr:from>
    <xdr:ext cx="914400" cy="264560"/>
    <xdr:sp macro="" textlink="">
      <xdr:nvSpPr>
        <xdr:cNvPr id="67" name="TextBox 66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49</xdr:row>
      <xdr:rowOff>28575</xdr:rowOff>
    </xdr:from>
    <xdr:ext cx="914400" cy="264560"/>
    <xdr:sp macro="" textlink="">
      <xdr:nvSpPr>
        <xdr:cNvPr id="68" name="TextBox 67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49</xdr:row>
      <xdr:rowOff>28575</xdr:rowOff>
    </xdr:from>
    <xdr:ext cx="914400" cy="264560"/>
    <xdr:sp macro="" textlink="">
      <xdr:nvSpPr>
        <xdr:cNvPr id="69" name="TextBox 68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49</xdr:row>
      <xdr:rowOff>28575</xdr:rowOff>
    </xdr:from>
    <xdr:ext cx="914400" cy="264560"/>
    <xdr:sp macro="" textlink="">
      <xdr:nvSpPr>
        <xdr:cNvPr id="70" name="TextBox 69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49</xdr:row>
      <xdr:rowOff>28575</xdr:rowOff>
    </xdr:from>
    <xdr:ext cx="914400" cy="264560"/>
    <xdr:sp macro="" textlink="">
      <xdr:nvSpPr>
        <xdr:cNvPr id="71" name="TextBox 70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57</xdr:row>
      <xdr:rowOff>28575</xdr:rowOff>
    </xdr:from>
    <xdr:ext cx="914400" cy="264560"/>
    <xdr:sp macro="" textlink="">
      <xdr:nvSpPr>
        <xdr:cNvPr id="72" name="TextBox 71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57</xdr:row>
      <xdr:rowOff>28575</xdr:rowOff>
    </xdr:from>
    <xdr:ext cx="914400" cy="264560"/>
    <xdr:sp macro="" textlink="">
      <xdr:nvSpPr>
        <xdr:cNvPr id="73" name="TextBox 72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57</xdr:row>
      <xdr:rowOff>28575</xdr:rowOff>
    </xdr:from>
    <xdr:ext cx="914400" cy="264560"/>
    <xdr:sp macro="" textlink="">
      <xdr:nvSpPr>
        <xdr:cNvPr id="74" name="TextBox 73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57</xdr:row>
      <xdr:rowOff>28575</xdr:rowOff>
    </xdr:from>
    <xdr:ext cx="914400" cy="264560"/>
    <xdr:sp macro="" textlink="">
      <xdr:nvSpPr>
        <xdr:cNvPr id="75" name="TextBox 74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57</xdr:row>
      <xdr:rowOff>28575</xdr:rowOff>
    </xdr:from>
    <xdr:ext cx="914400" cy="264560"/>
    <xdr:sp macro="" textlink="">
      <xdr:nvSpPr>
        <xdr:cNvPr id="76" name="TextBox 75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57</xdr:row>
      <xdr:rowOff>28575</xdr:rowOff>
    </xdr:from>
    <xdr:ext cx="914400" cy="264560"/>
    <xdr:sp macro="" textlink="">
      <xdr:nvSpPr>
        <xdr:cNvPr id="77" name="TextBox 76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57</xdr:row>
      <xdr:rowOff>28575</xdr:rowOff>
    </xdr:from>
    <xdr:ext cx="914400" cy="264560"/>
    <xdr:sp macro="" textlink="">
      <xdr:nvSpPr>
        <xdr:cNvPr id="78" name="TextBox 77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57</xdr:row>
      <xdr:rowOff>28575</xdr:rowOff>
    </xdr:from>
    <xdr:ext cx="914400" cy="264560"/>
    <xdr:sp macro="" textlink="">
      <xdr:nvSpPr>
        <xdr:cNvPr id="79" name="TextBox 78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57</xdr:row>
      <xdr:rowOff>28575</xdr:rowOff>
    </xdr:from>
    <xdr:ext cx="914400" cy="264560"/>
    <xdr:sp macro="" textlink="">
      <xdr:nvSpPr>
        <xdr:cNvPr id="80" name="TextBox 79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65</xdr:row>
      <xdr:rowOff>28575</xdr:rowOff>
    </xdr:from>
    <xdr:ext cx="914400" cy="264560"/>
    <xdr:sp macro="" textlink="">
      <xdr:nvSpPr>
        <xdr:cNvPr id="81" name="TextBox 80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65</xdr:row>
      <xdr:rowOff>28575</xdr:rowOff>
    </xdr:from>
    <xdr:ext cx="914400" cy="264560"/>
    <xdr:sp macro="" textlink="">
      <xdr:nvSpPr>
        <xdr:cNvPr id="82" name="TextBox 81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65</xdr:row>
      <xdr:rowOff>28575</xdr:rowOff>
    </xdr:from>
    <xdr:ext cx="914400" cy="264560"/>
    <xdr:sp macro="" textlink="">
      <xdr:nvSpPr>
        <xdr:cNvPr id="83" name="TextBox 82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65</xdr:row>
      <xdr:rowOff>28575</xdr:rowOff>
    </xdr:from>
    <xdr:ext cx="914400" cy="264560"/>
    <xdr:sp macro="" textlink="">
      <xdr:nvSpPr>
        <xdr:cNvPr id="84" name="TextBox 83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65</xdr:row>
      <xdr:rowOff>28575</xdr:rowOff>
    </xdr:from>
    <xdr:ext cx="914400" cy="264560"/>
    <xdr:sp macro="" textlink="">
      <xdr:nvSpPr>
        <xdr:cNvPr id="85" name="TextBox 84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65</xdr:row>
      <xdr:rowOff>28575</xdr:rowOff>
    </xdr:from>
    <xdr:ext cx="914400" cy="264560"/>
    <xdr:sp macro="" textlink="">
      <xdr:nvSpPr>
        <xdr:cNvPr id="86" name="TextBox 85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65</xdr:row>
      <xdr:rowOff>28575</xdr:rowOff>
    </xdr:from>
    <xdr:ext cx="914400" cy="264560"/>
    <xdr:sp macro="" textlink="">
      <xdr:nvSpPr>
        <xdr:cNvPr id="87" name="TextBox 86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73</xdr:row>
      <xdr:rowOff>28575</xdr:rowOff>
    </xdr:from>
    <xdr:ext cx="914400" cy="264560"/>
    <xdr:sp macro="" textlink="">
      <xdr:nvSpPr>
        <xdr:cNvPr id="90" name="TextBox 89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73</xdr:row>
      <xdr:rowOff>28575</xdr:rowOff>
    </xdr:from>
    <xdr:ext cx="914400" cy="264560"/>
    <xdr:sp macro="" textlink="">
      <xdr:nvSpPr>
        <xdr:cNvPr id="91" name="TextBox 90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73</xdr:row>
      <xdr:rowOff>28575</xdr:rowOff>
    </xdr:from>
    <xdr:ext cx="914400" cy="264560"/>
    <xdr:sp macro="" textlink="">
      <xdr:nvSpPr>
        <xdr:cNvPr id="92" name="TextBox 91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73</xdr:row>
      <xdr:rowOff>28575</xdr:rowOff>
    </xdr:from>
    <xdr:ext cx="914400" cy="264560"/>
    <xdr:sp macro="" textlink="">
      <xdr:nvSpPr>
        <xdr:cNvPr id="93" name="TextBox 92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73</xdr:row>
      <xdr:rowOff>28575</xdr:rowOff>
    </xdr:from>
    <xdr:ext cx="914400" cy="264560"/>
    <xdr:sp macro="" textlink="">
      <xdr:nvSpPr>
        <xdr:cNvPr id="94" name="TextBox 93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73</xdr:row>
      <xdr:rowOff>28575</xdr:rowOff>
    </xdr:from>
    <xdr:ext cx="914400" cy="264560"/>
    <xdr:sp macro="" textlink="">
      <xdr:nvSpPr>
        <xdr:cNvPr id="95" name="TextBox 94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73</xdr:row>
      <xdr:rowOff>28575</xdr:rowOff>
    </xdr:from>
    <xdr:ext cx="914400" cy="264560"/>
    <xdr:sp macro="" textlink="">
      <xdr:nvSpPr>
        <xdr:cNvPr id="96" name="TextBox 95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73</xdr:row>
      <xdr:rowOff>28575</xdr:rowOff>
    </xdr:from>
    <xdr:ext cx="914400" cy="264560"/>
    <xdr:sp macro="" textlink="">
      <xdr:nvSpPr>
        <xdr:cNvPr id="97" name="TextBox 96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73</xdr:row>
      <xdr:rowOff>28575</xdr:rowOff>
    </xdr:from>
    <xdr:ext cx="914400" cy="264560"/>
    <xdr:sp macro="" textlink="">
      <xdr:nvSpPr>
        <xdr:cNvPr id="98" name="TextBox 97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81</xdr:row>
      <xdr:rowOff>28575</xdr:rowOff>
    </xdr:from>
    <xdr:ext cx="914400" cy="264560"/>
    <xdr:sp macro="" textlink="">
      <xdr:nvSpPr>
        <xdr:cNvPr id="99" name="TextBox 98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81</xdr:row>
      <xdr:rowOff>28575</xdr:rowOff>
    </xdr:from>
    <xdr:ext cx="914400" cy="264560"/>
    <xdr:sp macro="" textlink="">
      <xdr:nvSpPr>
        <xdr:cNvPr id="100" name="TextBox 99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81</xdr:row>
      <xdr:rowOff>28575</xdr:rowOff>
    </xdr:from>
    <xdr:ext cx="914400" cy="264560"/>
    <xdr:sp macro="" textlink="">
      <xdr:nvSpPr>
        <xdr:cNvPr id="101" name="TextBox 100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81</xdr:row>
      <xdr:rowOff>28575</xdr:rowOff>
    </xdr:from>
    <xdr:ext cx="914400" cy="264560"/>
    <xdr:sp macro="" textlink="">
      <xdr:nvSpPr>
        <xdr:cNvPr id="102" name="TextBox 101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81</xdr:row>
      <xdr:rowOff>28575</xdr:rowOff>
    </xdr:from>
    <xdr:ext cx="914400" cy="264560"/>
    <xdr:sp macro="" textlink="">
      <xdr:nvSpPr>
        <xdr:cNvPr id="103" name="TextBox 102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81</xdr:row>
      <xdr:rowOff>28575</xdr:rowOff>
    </xdr:from>
    <xdr:ext cx="914400" cy="264560"/>
    <xdr:sp macro="" textlink="">
      <xdr:nvSpPr>
        <xdr:cNvPr id="104" name="TextBox 103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81</xdr:row>
      <xdr:rowOff>28575</xdr:rowOff>
    </xdr:from>
    <xdr:ext cx="914400" cy="264560"/>
    <xdr:sp macro="" textlink="">
      <xdr:nvSpPr>
        <xdr:cNvPr id="105" name="TextBox 104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81</xdr:row>
      <xdr:rowOff>28575</xdr:rowOff>
    </xdr:from>
    <xdr:ext cx="914400" cy="264560"/>
    <xdr:sp macro="" textlink="">
      <xdr:nvSpPr>
        <xdr:cNvPr id="106" name="TextBox 105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81</xdr:row>
      <xdr:rowOff>28575</xdr:rowOff>
    </xdr:from>
    <xdr:ext cx="914400" cy="436786"/>
    <xdr:sp macro="" textlink="">
      <xdr:nvSpPr>
        <xdr:cNvPr id="107" name="TextBox 106"/>
        <xdr:cNvSpPr txBox="1"/>
      </xdr:nvSpPr>
      <xdr:spPr>
        <a:xfrm>
          <a:off x="17930813" y="15784513"/>
          <a:ext cx="91440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  <a:p>
          <a:endParaRPr lang="ru-RU" sz="1100"/>
        </a:p>
      </xdr:txBody>
    </xdr:sp>
    <xdr:clientData/>
  </xdr:oneCellAnchor>
  <xdr:oneCellAnchor>
    <xdr:from>
      <xdr:col>23</xdr:col>
      <xdr:colOff>190500</xdr:colOff>
      <xdr:row>89</xdr:row>
      <xdr:rowOff>28575</xdr:rowOff>
    </xdr:from>
    <xdr:ext cx="914400" cy="264560"/>
    <xdr:sp macro="" textlink="">
      <xdr:nvSpPr>
        <xdr:cNvPr id="108" name="TextBox 107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89</xdr:row>
      <xdr:rowOff>28575</xdr:rowOff>
    </xdr:from>
    <xdr:ext cx="914400" cy="264560"/>
    <xdr:sp macro="" textlink="">
      <xdr:nvSpPr>
        <xdr:cNvPr id="109" name="TextBox 108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89</xdr:row>
      <xdr:rowOff>28575</xdr:rowOff>
    </xdr:from>
    <xdr:ext cx="914400" cy="264560"/>
    <xdr:sp macro="" textlink="">
      <xdr:nvSpPr>
        <xdr:cNvPr id="110" name="TextBox 109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89</xdr:row>
      <xdr:rowOff>28575</xdr:rowOff>
    </xdr:from>
    <xdr:ext cx="914400" cy="264560"/>
    <xdr:sp macro="" textlink="">
      <xdr:nvSpPr>
        <xdr:cNvPr id="111" name="TextBox 110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89</xdr:row>
      <xdr:rowOff>28575</xdr:rowOff>
    </xdr:from>
    <xdr:ext cx="914400" cy="264560"/>
    <xdr:sp macro="" textlink="">
      <xdr:nvSpPr>
        <xdr:cNvPr id="112" name="TextBox 111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23</xdr:col>
      <xdr:colOff>190500</xdr:colOff>
      <xdr:row>89</xdr:row>
      <xdr:rowOff>28575</xdr:rowOff>
    </xdr:from>
    <xdr:ext cx="914400" cy="264560"/>
    <xdr:sp macro="" textlink="">
      <xdr:nvSpPr>
        <xdr:cNvPr id="113" name="TextBox 112"/>
        <xdr:cNvSpPr txBox="1"/>
      </xdr:nvSpPr>
      <xdr:spPr>
        <a:xfrm>
          <a:off x="17818100" y="6772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absoluteAnchor>
    <xdr:pos x="5810250" y="17018000"/>
    <xdr:ext cx="5194299" cy="3219449"/>
    <xdr:graphicFrame macro="">
      <xdr:nvGraphicFramePr>
        <xdr:cNvPr id="117" name="Диаграмма 116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absoluteAnchor>
  <xdr:absoluteAnchor>
    <xdr:pos x="5810252" y="13890625"/>
    <xdr:ext cx="5159374" cy="3127375"/>
    <xdr:graphicFrame macro="">
      <xdr:nvGraphicFramePr>
        <xdr:cNvPr id="118" name="Диаграмма 117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absoluteAnchor>
  <xdr:absoluteAnchor>
    <xdr:pos x="11009313" y="17033875"/>
    <xdr:ext cx="5756274" cy="3206303"/>
    <xdr:graphicFrame macro="">
      <xdr:nvGraphicFramePr>
        <xdr:cNvPr id="119" name="Диаграмма 118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7"/>
  <sheetViews>
    <sheetView topLeftCell="B6" zoomScale="60" zoomScaleNormal="60" workbookViewId="0">
      <selection activeCell="C37" sqref="C37"/>
    </sheetView>
  </sheetViews>
  <sheetFormatPr defaultRowHeight="14.25" x14ac:dyDescent="0.45"/>
  <cols>
    <col min="1" max="1" width="2.73046875" customWidth="1"/>
    <col min="2" max="2" width="42.86328125" customWidth="1"/>
    <col min="3" max="3" width="31.86328125" customWidth="1"/>
    <col min="4" max="4" width="3.73046875" customWidth="1"/>
    <col min="5" max="5" width="12.59765625" customWidth="1"/>
    <col min="6" max="6" width="12.265625" customWidth="1"/>
    <col min="8" max="8" width="9.3984375" customWidth="1"/>
    <col min="9" max="9" width="9" customWidth="1"/>
    <col min="10" max="10" width="8.265625" bestFit="1" customWidth="1"/>
    <col min="11" max="12" width="8.3984375" customWidth="1"/>
    <col min="13" max="13" width="9.06640625" customWidth="1"/>
    <col min="14" max="14" width="8.73046875" bestFit="1" customWidth="1"/>
    <col min="15" max="15" width="8" customWidth="1"/>
    <col min="16" max="18" width="8.1328125" customWidth="1"/>
    <col min="19" max="19" width="9.46484375" customWidth="1"/>
    <col min="20" max="20" width="7.59765625" customWidth="1"/>
    <col min="21" max="21" width="7" customWidth="1"/>
    <col min="22" max="22" width="6.265625" customWidth="1"/>
    <col min="24" max="24" width="13.1328125" customWidth="1"/>
    <col min="25" max="25" width="14.86328125" customWidth="1"/>
    <col min="26" max="26" width="10.3984375" customWidth="1"/>
    <col min="27" max="27" width="10.1328125" customWidth="1"/>
  </cols>
  <sheetData>
    <row r="1" spans="1:36" ht="39.950000000000003" customHeight="1" x14ac:dyDescent="0.7">
      <c r="A1" s="6"/>
      <c r="B1" s="82" t="s">
        <v>42</v>
      </c>
      <c r="C1" s="82"/>
      <c r="D1" s="42"/>
      <c r="E1" s="82" t="s">
        <v>52</v>
      </c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42"/>
      <c r="V1" s="87" t="s">
        <v>82</v>
      </c>
      <c r="W1" s="87"/>
      <c r="X1" s="87"/>
      <c r="Y1" s="87"/>
      <c r="Z1" s="87"/>
      <c r="AA1" s="87"/>
      <c r="AB1" s="87"/>
      <c r="AC1" s="87"/>
      <c r="AD1" s="87"/>
      <c r="AE1" s="87"/>
      <c r="AF1" s="87"/>
      <c r="AG1" s="33"/>
      <c r="AH1" s="33"/>
      <c r="AI1" s="33"/>
      <c r="AJ1" s="33"/>
    </row>
    <row r="2" spans="1:36" ht="15" customHeight="1" x14ac:dyDescent="0.7">
      <c r="A2" s="6"/>
      <c r="B2" s="41"/>
      <c r="C2" s="41" t="s">
        <v>83</v>
      </c>
      <c r="D2" s="40"/>
      <c r="E2" s="40"/>
      <c r="F2" s="40"/>
      <c r="G2" s="40"/>
      <c r="H2" s="40"/>
      <c r="I2" s="40"/>
      <c r="J2" s="40"/>
      <c r="K2" s="40"/>
      <c r="L2" s="40" t="s">
        <v>84</v>
      </c>
      <c r="M2" s="7"/>
      <c r="N2" s="7"/>
      <c r="O2" s="7"/>
      <c r="P2" s="7"/>
      <c r="Q2" s="7"/>
      <c r="R2" s="7"/>
      <c r="S2" s="7"/>
      <c r="T2" s="7"/>
      <c r="U2" s="9"/>
      <c r="V2" s="9"/>
      <c r="W2" s="9"/>
      <c r="X2" s="38"/>
      <c r="Y2" s="38"/>
      <c r="Z2" s="38"/>
      <c r="AA2" s="38"/>
      <c r="AB2" s="38"/>
      <c r="AC2" s="38"/>
      <c r="AD2" s="39" t="s">
        <v>87</v>
      </c>
      <c r="AE2" s="33"/>
      <c r="AF2" s="33"/>
      <c r="AG2" s="33"/>
      <c r="AH2" s="33"/>
      <c r="AI2" s="33"/>
      <c r="AJ2" s="33"/>
    </row>
    <row r="3" spans="1:36" ht="15" customHeight="1" x14ac:dyDescent="0.7">
      <c r="A3" s="5"/>
      <c r="B3" s="1" t="s">
        <v>0</v>
      </c>
      <c r="C3" s="62" t="s">
        <v>157</v>
      </c>
      <c r="E3" s="1" t="s">
        <v>18</v>
      </c>
      <c r="F3" s="1"/>
      <c r="G3" s="1"/>
      <c r="H3" s="1" t="s">
        <v>19</v>
      </c>
      <c r="I3" s="1"/>
      <c r="J3" s="1"/>
      <c r="K3" s="1" t="s">
        <v>20</v>
      </c>
      <c r="L3" s="3" t="s">
        <v>21</v>
      </c>
      <c r="X3" s="77" t="s">
        <v>88</v>
      </c>
      <c r="Y3" s="77"/>
      <c r="Z3" s="77"/>
      <c r="AA3" s="77"/>
      <c r="AB3" s="77"/>
      <c r="AC3" s="77"/>
      <c r="AD3" s="77"/>
      <c r="AE3" s="33"/>
      <c r="AF3" s="33"/>
      <c r="AG3" s="33"/>
      <c r="AH3" s="33"/>
      <c r="AI3" s="33"/>
      <c r="AJ3" s="33"/>
    </row>
    <row r="4" spans="1:36" ht="18" customHeight="1" x14ac:dyDescent="0.45">
      <c r="A4" s="5"/>
      <c r="B4" s="1" t="s">
        <v>1</v>
      </c>
      <c r="C4" s="62" t="s">
        <v>158</v>
      </c>
      <c r="E4" s="83" t="s">
        <v>16</v>
      </c>
      <c r="F4" s="3" t="s">
        <v>22</v>
      </c>
      <c r="G4" s="62">
        <v>163</v>
      </c>
      <c r="H4" s="62">
        <v>170</v>
      </c>
      <c r="I4" s="62">
        <v>190</v>
      </c>
      <c r="J4" s="62">
        <v>210</v>
      </c>
      <c r="K4" s="62">
        <v>230.4</v>
      </c>
      <c r="L4" s="69">
        <v>248.2</v>
      </c>
      <c r="X4" s="78" t="s">
        <v>27</v>
      </c>
      <c r="Y4" s="51" t="s">
        <v>24</v>
      </c>
      <c r="Z4" s="46">
        <f>L6</f>
        <v>0</v>
      </c>
      <c r="AA4" s="46">
        <f>K6</f>
        <v>239.3</v>
      </c>
      <c r="AB4" s="46">
        <f>J6</f>
        <v>250.7</v>
      </c>
      <c r="AC4" s="46">
        <f>I6</f>
        <v>257.39999999999998</v>
      </c>
      <c r="AD4" s="72">
        <f>H6</f>
        <v>260.5</v>
      </c>
      <c r="AE4" s="46">
        <f>G6</f>
        <v>261</v>
      </c>
    </row>
    <row r="5" spans="1:36" ht="18" customHeight="1" x14ac:dyDescent="0.45">
      <c r="A5" s="5"/>
      <c r="B5" s="1" t="s">
        <v>2</v>
      </c>
      <c r="C5" s="62" t="s">
        <v>159</v>
      </c>
      <c r="E5" s="83"/>
      <c r="F5" s="1" t="s">
        <v>23</v>
      </c>
      <c r="G5" s="62">
        <v>42.5</v>
      </c>
      <c r="H5" s="62">
        <v>44.3</v>
      </c>
      <c r="I5" s="62">
        <v>48.9</v>
      </c>
      <c r="J5" s="62">
        <v>52.64</v>
      </c>
      <c r="K5" s="69">
        <v>55.2</v>
      </c>
      <c r="L5" s="62">
        <v>0</v>
      </c>
      <c r="X5" s="78"/>
      <c r="Y5" s="51" t="s">
        <v>22</v>
      </c>
      <c r="Z5" s="46">
        <f>L4</f>
        <v>248.2</v>
      </c>
      <c r="AA5" s="46">
        <f>K4</f>
        <v>230.4</v>
      </c>
      <c r="AB5" s="46">
        <f>J4</f>
        <v>210</v>
      </c>
      <c r="AC5" s="46">
        <f>I4</f>
        <v>190</v>
      </c>
      <c r="AD5" s="72">
        <f>H4</f>
        <v>170</v>
      </c>
      <c r="AE5" s="46">
        <f>G4</f>
        <v>163</v>
      </c>
    </row>
    <row r="6" spans="1:36" ht="18" customHeight="1" x14ac:dyDescent="0.45">
      <c r="A6" s="5"/>
      <c r="B6" s="1" t="s">
        <v>3</v>
      </c>
      <c r="C6" s="62">
        <v>1.4</v>
      </c>
      <c r="E6" s="83"/>
      <c r="F6" s="1" t="s">
        <v>24</v>
      </c>
      <c r="G6" s="62">
        <v>261</v>
      </c>
      <c r="H6" s="69">
        <v>260.5</v>
      </c>
      <c r="I6" s="62">
        <v>257.39999999999998</v>
      </c>
      <c r="J6" s="62">
        <v>250.7</v>
      </c>
      <c r="K6" s="62">
        <v>239.3</v>
      </c>
      <c r="L6" s="62">
        <v>0</v>
      </c>
      <c r="X6" s="78"/>
      <c r="Y6" s="51" t="s">
        <v>25</v>
      </c>
      <c r="Z6" s="46">
        <f>L7</f>
        <v>5</v>
      </c>
      <c r="AA6" s="46">
        <f>K7</f>
        <v>14.25</v>
      </c>
      <c r="AB6" s="46">
        <f>J7</f>
        <v>13.58</v>
      </c>
      <c r="AC6" s="46">
        <f>I7</f>
        <v>12.62</v>
      </c>
      <c r="AD6" s="72">
        <f>H7</f>
        <v>11.43</v>
      </c>
      <c r="AE6" s="46">
        <f>G7</f>
        <v>10.97</v>
      </c>
    </row>
    <row r="7" spans="1:36" ht="18" customHeight="1" x14ac:dyDescent="0.45">
      <c r="A7" s="5"/>
      <c r="B7" s="1" t="s">
        <v>4</v>
      </c>
      <c r="C7" s="62"/>
      <c r="E7" s="83"/>
      <c r="F7" s="1" t="s">
        <v>25</v>
      </c>
      <c r="G7" s="62">
        <v>10.97</v>
      </c>
      <c r="H7" s="62">
        <v>11.43</v>
      </c>
      <c r="I7" s="62">
        <v>12.62</v>
      </c>
      <c r="J7" s="62">
        <v>13.58</v>
      </c>
      <c r="K7" s="62">
        <v>14.25</v>
      </c>
      <c r="L7" s="62">
        <v>5</v>
      </c>
      <c r="X7" s="78"/>
      <c r="Y7" s="51" t="s">
        <v>23</v>
      </c>
      <c r="Z7" s="46">
        <f>L5</f>
        <v>0</v>
      </c>
      <c r="AA7" s="46">
        <f>K5</f>
        <v>55.2</v>
      </c>
      <c r="AB7" s="46">
        <f>J5</f>
        <v>52.64</v>
      </c>
      <c r="AC7" s="46">
        <f>I5</f>
        <v>48.9</v>
      </c>
      <c r="AD7" s="72">
        <f>H5</f>
        <v>44.3</v>
      </c>
      <c r="AE7" s="46">
        <f>G5</f>
        <v>42.5</v>
      </c>
    </row>
    <row r="8" spans="1:36" ht="14.25" customHeight="1" x14ac:dyDescent="0.45">
      <c r="A8" s="5"/>
      <c r="B8" s="1" t="s">
        <v>5</v>
      </c>
      <c r="C8" s="62">
        <v>3815</v>
      </c>
      <c r="E8" s="83"/>
      <c r="F8" s="1" t="s">
        <v>26</v>
      </c>
      <c r="G8" s="62">
        <v>3.8</v>
      </c>
      <c r="H8" s="62">
        <v>3.9</v>
      </c>
      <c r="I8" s="62">
        <v>4.2</v>
      </c>
      <c r="J8" s="62">
        <v>4.5</v>
      </c>
      <c r="K8" s="62">
        <v>4.84</v>
      </c>
      <c r="L8" s="62">
        <v>5</v>
      </c>
      <c r="X8" s="79" t="s">
        <v>28</v>
      </c>
      <c r="Y8" s="50" t="s">
        <v>77</v>
      </c>
      <c r="Z8" s="13">
        <v>0</v>
      </c>
      <c r="AA8" s="13">
        <f>(AA4*$F$32*$F$33*$F$20)/$F$19</f>
        <v>115754.82926208652</v>
      </c>
      <c r="AB8" s="13">
        <f t="shared" ref="AB8:AE8" si="0">(AB4*$F$32*$F$33*$F$20)/$F$19</f>
        <v>121269.26743002543</v>
      </c>
      <c r="AC8" s="13">
        <f t="shared" si="0"/>
        <v>124510.20916030533</v>
      </c>
      <c r="AD8" s="73">
        <f t="shared" si="0"/>
        <v>126009.74936386768</v>
      </c>
      <c r="AE8" s="13">
        <f t="shared" si="0"/>
        <v>126251.6106870229</v>
      </c>
    </row>
    <row r="9" spans="1:36" ht="14.25" customHeight="1" x14ac:dyDescent="0.45">
      <c r="A9" s="5"/>
      <c r="B9" s="1" t="s">
        <v>6</v>
      </c>
      <c r="C9" s="62">
        <v>1970</v>
      </c>
      <c r="X9" s="80"/>
      <c r="Y9" s="50" t="s">
        <v>78</v>
      </c>
      <c r="Z9" s="13">
        <f>Z8-$F$36</f>
        <v>-2479.9680000000003</v>
      </c>
      <c r="AA9" s="13">
        <f>AA8-$F$36</f>
        <v>113274.86126208653</v>
      </c>
      <c r="AB9" s="13">
        <f t="shared" ref="AB9:AC9" si="1">AB8-$F$36</f>
        <v>118789.29943002544</v>
      </c>
      <c r="AC9" s="13">
        <f t="shared" si="1"/>
        <v>122030.24116030533</v>
      </c>
      <c r="AD9" s="73">
        <f t="shared" ref="AD9:AE9" si="2">(AD5*$F$32*$F$33*$F$20)/$F$19</f>
        <v>82232.849872773528</v>
      </c>
      <c r="AE9" s="13">
        <f t="shared" si="2"/>
        <v>78846.791348600513</v>
      </c>
    </row>
    <row r="10" spans="1:36" ht="14.25" customHeight="1" x14ac:dyDescent="0.45">
      <c r="A10" s="5"/>
      <c r="B10" s="1" t="s">
        <v>7</v>
      </c>
      <c r="C10" s="62">
        <v>2470</v>
      </c>
      <c r="E10" s="85" t="s">
        <v>51</v>
      </c>
      <c r="F10" s="85"/>
      <c r="G10" s="85"/>
      <c r="H10" s="85"/>
      <c r="I10" s="85"/>
      <c r="X10" s="80"/>
      <c r="Y10" s="50" t="s">
        <v>79</v>
      </c>
      <c r="Z10" s="47">
        <f>(Z5*$F$19)/$F$20</f>
        <v>0.44126939606423882</v>
      </c>
      <c r="AA10" s="47">
        <f>(AA5*$F$19)/$F$20</f>
        <v>0.40962316218050215</v>
      </c>
      <c r="AB10" s="47">
        <f t="shared" ref="AB10:AC10" si="3">(AB5*$F$19)/$F$20</f>
        <v>0.37335444469577017</v>
      </c>
      <c r="AC10" s="47">
        <f t="shared" si="3"/>
        <v>0.33779687853426826</v>
      </c>
      <c r="AD10" s="73">
        <f t="shared" ref="AD10:AE10" si="4">(AD6*$F$32*$F$33*$F$20)/$F$19</f>
        <v>5528.9498473282438</v>
      </c>
      <c r="AE10" s="13">
        <f t="shared" si="4"/>
        <v>5306.4374300254458</v>
      </c>
    </row>
    <row r="11" spans="1:36" ht="14.25" customHeight="1" x14ac:dyDescent="0.45">
      <c r="A11" s="5"/>
      <c r="B11" s="1" t="s">
        <v>8</v>
      </c>
      <c r="C11" s="62">
        <v>2370</v>
      </c>
      <c r="E11" s="84" t="s">
        <v>44</v>
      </c>
      <c r="F11" s="84"/>
      <c r="G11" s="4" t="s">
        <v>48</v>
      </c>
      <c r="H11" s="4" t="s">
        <v>49</v>
      </c>
      <c r="I11" s="4" t="s">
        <v>50</v>
      </c>
      <c r="X11" s="80"/>
      <c r="Y11" s="2" t="s">
        <v>71</v>
      </c>
      <c r="Z11" s="47" t="s">
        <v>204</v>
      </c>
      <c r="AA11" s="47" t="s">
        <v>204</v>
      </c>
      <c r="AB11" s="47" t="s">
        <v>204</v>
      </c>
      <c r="AC11" s="47" t="s">
        <v>204</v>
      </c>
      <c r="AD11" s="74" t="s">
        <v>204</v>
      </c>
      <c r="AE11" s="47" t="s">
        <v>204</v>
      </c>
    </row>
    <row r="12" spans="1:36" ht="14.25" customHeight="1" x14ac:dyDescent="0.45">
      <c r="A12" s="5"/>
      <c r="B12" s="1" t="s">
        <v>9</v>
      </c>
      <c r="C12" s="62" t="s">
        <v>160</v>
      </c>
      <c r="E12" s="84" t="s">
        <v>45</v>
      </c>
      <c r="F12" s="84"/>
      <c r="G12" s="68">
        <v>1</v>
      </c>
      <c r="H12" s="68">
        <v>1</v>
      </c>
      <c r="I12" s="68">
        <v>1</v>
      </c>
      <c r="X12" s="80"/>
      <c r="Y12" s="2" t="s">
        <v>80</v>
      </c>
      <c r="Z12" s="47" t="s">
        <v>204</v>
      </c>
      <c r="AA12" s="47" t="s">
        <v>204</v>
      </c>
      <c r="AB12" s="47" t="s">
        <v>204</v>
      </c>
      <c r="AC12" s="47" t="s">
        <v>204</v>
      </c>
      <c r="AD12" s="74" t="s">
        <v>204</v>
      </c>
      <c r="AE12" s="47" t="s">
        <v>204</v>
      </c>
    </row>
    <row r="13" spans="1:36" ht="14.25" customHeight="1" x14ac:dyDescent="0.45">
      <c r="A13" s="5"/>
      <c r="B13" s="1" t="s">
        <v>10</v>
      </c>
      <c r="C13" s="62">
        <v>650</v>
      </c>
      <c r="E13" s="84" t="s">
        <v>46</v>
      </c>
      <c r="F13" s="84"/>
      <c r="G13" s="68">
        <v>0.87</v>
      </c>
      <c r="H13" s="68">
        <v>1.1299999999999999</v>
      </c>
      <c r="I13" s="68">
        <v>1</v>
      </c>
      <c r="M13" t="s">
        <v>162</v>
      </c>
      <c r="X13" s="80"/>
      <c r="Y13" s="60" t="s">
        <v>125</v>
      </c>
      <c r="Z13" s="47" t="s">
        <v>204</v>
      </c>
      <c r="AA13" s="47" t="s">
        <v>204</v>
      </c>
      <c r="AB13" s="47" t="s">
        <v>204</v>
      </c>
      <c r="AC13" s="47" t="s">
        <v>204</v>
      </c>
      <c r="AD13" s="74" t="s">
        <v>204</v>
      </c>
      <c r="AE13" s="47" t="s">
        <v>204</v>
      </c>
    </row>
    <row r="14" spans="1:36" ht="14.25" customHeight="1" x14ac:dyDescent="0.45">
      <c r="A14" s="5"/>
      <c r="B14" s="1" t="s">
        <v>11</v>
      </c>
      <c r="C14" s="62">
        <v>3160</v>
      </c>
      <c r="E14" s="84" t="s">
        <v>47</v>
      </c>
      <c r="F14" s="84"/>
      <c r="G14" s="68">
        <v>0.53</v>
      </c>
      <c r="H14" s="68">
        <v>1.56</v>
      </c>
      <c r="I14" s="68">
        <v>1.0900000000000001</v>
      </c>
      <c r="X14" s="80"/>
      <c r="Y14" s="60" t="s">
        <v>138</v>
      </c>
      <c r="Z14" s="47" t="s">
        <v>204</v>
      </c>
      <c r="AA14" s="47" t="s">
        <v>204</v>
      </c>
      <c r="AB14" s="47" t="s">
        <v>204</v>
      </c>
      <c r="AC14" s="47" t="s">
        <v>204</v>
      </c>
      <c r="AD14" s="74" t="s">
        <v>204</v>
      </c>
      <c r="AE14" s="47" t="s">
        <v>204</v>
      </c>
    </row>
    <row r="15" spans="1:36" ht="14.25" customHeight="1" x14ac:dyDescent="0.45">
      <c r="A15" s="5"/>
      <c r="B15" s="1" t="s">
        <v>39</v>
      </c>
      <c r="C15" s="62"/>
      <c r="X15" s="81"/>
      <c r="Y15" s="60" t="s">
        <v>81</v>
      </c>
      <c r="Z15" s="47" t="s">
        <v>204</v>
      </c>
      <c r="AA15" s="47" t="s">
        <v>204</v>
      </c>
      <c r="AB15" s="47" t="s">
        <v>204</v>
      </c>
      <c r="AC15" s="47" t="s">
        <v>204</v>
      </c>
      <c r="AD15" s="74" t="s">
        <v>204</v>
      </c>
      <c r="AE15" s="47" t="s">
        <v>204</v>
      </c>
    </row>
    <row r="16" spans="1:36" ht="24" customHeight="1" x14ac:dyDescent="0.55000000000000004">
      <c r="A16" s="5"/>
      <c r="B16" s="1" t="s">
        <v>40</v>
      </c>
      <c r="C16" s="62">
        <v>345</v>
      </c>
      <c r="E16" s="88" t="s">
        <v>89</v>
      </c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X16" s="75" t="s">
        <v>29</v>
      </c>
      <c r="Y16" s="50" t="s">
        <v>90</v>
      </c>
      <c r="Z16" s="13">
        <f>(Z4*$F$32*$F$33*$F$21)/$F$19</f>
        <v>0</v>
      </c>
      <c r="AA16" s="13">
        <f>(AA4*$F$32*$F$33*$F$21)/$F$19</f>
        <v>64855.171246819329</v>
      </c>
      <c r="AB16" s="13">
        <f t="shared" ref="AB16:AD16" si="5">(AB4*$F$32*$F$33*$F$21)/$F$19</f>
        <v>67944.803307888025</v>
      </c>
      <c r="AC16" s="13">
        <f t="shared" si="5"/>
        <v>69760.639694656464</v>
      </c>
      <c r="AD16" s="73">
        <f t="shared" si="5"/>
        <v>70600.802798982186</v>
      </c>
      <c r="AE16" s="13">
        <f t="shared" ref="AE16" si="6">(AE4*$F$32*$F$33*$F$21)/$F$19</f>
        <v>70736.312977099238</v>
      </c>
    </row>
    <row r="17" spans="1:31" ht="21" customHeight="1" x14ac:dyDescent="0.45">
      <c r="A17" s="5"/>
      <c r="B17" s="1" t="s">
        <v>12</v>
      </c>
      <c r="C17" s="62">
        <v>786</v>
      </c>
      <c r="T17" s="21" t="s">
        <v>85</v>
      </c>
      <c r="X17" s="75"/>
      <c r="Y17" s="50" t="s">
        <v>91</v>
      </c>
      <c r="Z17" s="13">
        <f>Z16-$F$36</f>
        <v>-2479.9680000000003</v>
      </c>
      <c r="AA17" s="13">
        <f t="shared" ref="AA17:AD17" si="7">AA16-$F$36</f>
        <v>62375.203246819328</v>
      </c>
      <c r="AB17" s="13">
        <f t="shared" si="7"/>
        <v>65464.835307888025</v>
      </c>
      <c r="AC17" s="13">
        <f>AC16-$F$36</f>
        <v>67280.67169465647</v>
      </c>
      <c r="AD17" s="73">
        <f t="shared" si="7"/>
        <v>68120.834798982192</v>
      </c>
      <c r="AE17" s="13">
        <f t="shared" ref="AE17" si="8">AE16-$F$36</f>
        <v>68256.344977099245</v>
      </c>
    </row>
    <row r="18" spans="1:31" ht="21" customHeight="1" x14ac:dyDescent="0.45">
      <c r="A18" s="5"/>
      <c r="B18" s="1" t="s">
        <v>13</v>
      </c>
      <c r="C18" s="62"/>
      <c r="H18" s="85" t="s">
        <v>61</v>
      </c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X18" s="75"/>
      <c r="Y18" s="50" t="s">
        <v>92</v>
      </c>
      <c r="Z18" s="47">
        <f>(Z5*$F$19)/$F$21</f>
        <v>0.78758659668954378</v>
      </c>
      <c r="AA18" s="47">
        <f>(AA5*$F$19)/$F$21</f>
        <v>0.73110375454178445</v>
      </c>
      <c r="AB18" s="47">
        <f t="shared" ref="AB18:AD18" si="9">(AB5*$F$19)/$F$21</f>
        <v>0.66637060960839734</v>
      </c>
      <c r="AC18" s="47">
        <f t="shared" si="9"/>
        <v>0.60290674202664518</v>
      </c>
      <c r="AD18" s="74">
        <f t="shared" si="9"/>
        <v>0.53944287444489303</v>
      </c>
      <c r="AE18" s="47">
        <f t="shared" ref="AE18" si="10">(AE5*$F$19)/$F$21</f>
        <v>0.51723052079127974</v>
      </c>
    </row>
    <row r="19" spans="1:31" ht="21" customHeight="1" x14ac:dyDescent="0.45">
      <c r="A19" s="5"/>
      <c r="B19" s="1" t="s">
        <v>28</v>
      </c>
      <c r="C19" s="62">
        <v>442.1</v>
      </c>
      <c r="E19" t="s">
        <v>139</v>
      </c>
      <c r="F19" s="22">
        <f>C17/1000</f>
        <v>0.78600000000000003</v>
      </c>
      <c r="H19" s="83" t="s">
        <v>27</v>
      </c>
      <c r="I19" s="83"/>
      <c r="J19" s="83" t="s">
        <v>38</v>
      </c>
      <c r="K19" s="83"/>
      <c r="L19" s="83"/>
      <c r="M19" s="83"/>
      <c r="N19" s="83"/>
      <c r="O19" s="83"/>
      <c r="P19" s="83"/>
      <c r="Q19" s="83"/>
      <c r="R19" s="83"/>
      <c r="S19" s="83"/>
      <c r="T19" s="83"/>
      <c r="X19" s="75"/>
      <c r="Y19" s="2" t="s">
        <v>71</v>
      </c>
      <c r="Z19" s="47" t="s">
        <v>204</v>
      </c>
      <c r="AA19" s="47" t="s">
        <v>204</v>
      </c>
      <c r="AB19" s="47" t="s">
        <v>204</v>
      </c>
      <c r="AC19" s="47" t="s">
        <v>204</v>
      </c>
      <c r="AD19" s="74" t="s">
        <v>204</v>
      </c>
      <c r="AE19" s="47" t="s">
        <v>204</v>
      </c>
    </row>
    <row r="20" spans="1:31" ht="21" customHeight="1" x14ac:dyDescent="0.45">
      <c r="A20" s="5"/>
      <c r="B20" s="1" t="s">
        <v>29</v>
      </c>
      <c r="C20" s="62">
        <v>247.7</v>
      </c>
      <c r="E20" s="31" t="s">
        <v>53</v>
      </c>
      <c r="F20" s="32">
        <f>C19</f>
        <v>442.1</v>
      </c>
      <c r="H20" s="83"/>
      <c r="I20" s="83"/>
      <c r="J20" s="44" t="s">
        <v>28</v>
      </c>
      <c r="K20" s="44" t="s">
        <v>29</v>
      </c>
      <c r="L20" s="44" t="s">
        <v>30</v>
      </c>
      <c r="M20" s="44" t="s">
        <v>31</v>
      </c>
      <c r="N20" s="44" t="s">
        <v>32</v>
      </c>
      <c r="O20" s="44" t="s">
        <v>33</v>
      </c>
      <c r="P20" s="44" t="s">
        <v>34</v>
      </c>
      <c r="Q20" s="1" t="s">
        <v>161</v>
      </c>
      <c r="R20" s="66" t="s">
        <v>163</v>
      </c>
      <c r="S20" s="49" t="s">
        <v>35</v>
      </c>
      <c r="T20" s="49" t="s">
        <v>164</v>
      </c>
      <c r="X20" s="75"/>
      <c r="Y20" s="2" t="s">
        <v>93</v>
      </c>
      <c r="Z20" s="47" t="s">
        <v>204</v>
      </c>
      <c r="AA20" s="47" t="s">
        <v>204</v>
      </c>
      <c r="AB20" s="47" t="s">
        <v>204</v>
      </c>
      <c r="AC20" s="47" t="s">
        <v>204</v>
      </c>
      <c r="AD20" s="74" t="s">
        <v>204</v>
      </c>
      <c r="AE20" s="47" t="s">
        <v>204</v>
      </c>
    </row>
    <row r="21" spans="1:31" ht="21" customHeight="1" x14ac:dyDescent="0.45">
      <c r="A21" s="5"/>
      <c r="B21" s="1" t="s">
        <v>30</v>
      </c>
      <c r="C21" s="62">
        <v>145.6</v>
      </c>
      <c r="E21" s="31" t="s">
        <v>54</v>
      </c>
      <c r="F21" s="32">
        <f t="shared" ref="F21:F25" si="11">C20</f>
        <v>247.7</v>
      </c>
      <c r="H21" s="83" t="s">
        <v>36</v>
      </c>
      <c r="I21" s="83"/>
      <c r="J21" s="8">
        <f>($H$4*$F$19)/F20</f>
        <v>0.30223931237276636</v>
      </c>
      <c r="K21" s="8">
        <f>($H$4*$F$19)/F21</f>
        <v>0.53944287444489303</v>
      </c>
      <c r="L21" s="8">
        <f>($H$4*$F$19)/F22</f>
        <v>0.91771978021978029</v>
      </c>
      <c r="M21" s="8">
        <f>($H$4*$F$19)/F23</f>
        <v>1.1266441821247892</v>
      </c>
      <c r="N21" s="8">
        <f>($H$4*$F$19)/F24</f>
        <v>1.334865134865135</v>
      </c>
      <c r="O21" s="8">
        <f>($H$4*$F$19)/F25</f>
        <v>1.5609813084112152</v>
      </c>
      <c r="P21" s="8">
        <f>($H$4*$F$19)/F26</f>
        <v>1.9198275862068968</v>
      </c>
      <c r="Q21" s="8">
        <f>($H$4*$F$19)/F27</f>
        <v>2.2724489795918368</v>
      </c>
      <c r="R21" s="8">
        <f>($H$4*$F$19)/F28</f>
        <v>4.2284810126582277</v>
      </c>
      <c r="S21" s="14">
        <f>($H$4*$F$19)/F29</f>
        <v>0.66743256743256751</v>
      </c>
      <c r="T21" s="14">
        <f>($H$4*$F$19)/F30</f>
        <v>1.1362244897959184</v>
      </c>
      <c r="X21" s="75"/>
      <c r="Y21" s="2" t="s">
        <v>126</v>
      </c>
      <c r="Z21" s="47" t="s">
        <v>204</v>
      </c>
      <c r="AA21" s="47" t="s">
        <v>204</v>
      </c>
      <c r="AB21" s="47" t="s">
        <v>204</v>
      </c>
      <c r="AC21" s="47" t="s">
        <v>204</v>
      </c>
      <c r="AD21" s="74" t="s">
        <v>204</v>
      </c>
      <c r="AE21" s="47" t="s">
        <v>204</v>
      </c>
    </row>
    <row r="22" spans="1:31" ht="21" customHeight="1" x14ac:dyDescent="0.45">
      <c r="A22" s="5"/>
      <c r="B22" s="1" t="s">
        <v>31</v>
      </c>
      <c r="C22" s="62">
        <v>118.6</v>
      </c>
      <c r="E22" s="31" t="s">
        <v>55</v>
      </c>
      <c r="F22" s="32">
        <f t="shared" si="11"/>
        <v>145.6</v>
      </c>
      <c r="H22" s="83" t="s">
        <v>37</v>
      </c>
      <c r="I22" s="83"/>
      <c r="J22" s="8">
        <f>($L$4*$F$19)/F20</f>
        <v>0.44126939606423882</v>
      </c>
      <c r="K22" s="8">
        <f>($L$4*$F$19)/F21</f>
        <v>0.78758659668954378</v>
      </c>
      <c r="L22" s="8">
        <f>($L$4*$F$19)/F22</f>
        <v>1.3398708791208791</v>
      </c>
      <c r="M22" s="8">
        <f>($L$4*$F$19)/F23</f>
        <v>1.6449005059021922</v>
      </c>
      <c r="N22" s="8">
        <f>($L$4*$F$19)/F24</f>
        <v>1.9489030969030969</v>
      </c>
      <c r="O22" s="8">
        <f>($L$4*$F$19)/F25</f>
        <v>2.279032710280374</v>
      </c>
      <c r="P22" s="8">
        <f>($L$4*$F$19)/F26</f>
        <v>2.802948275862069</v>
      </c>
      <c r="Q22" s="8">
        <f>($L$4*$F$19)/F27</f>
        <v>3.3177755102040813</v>
      </c>
      <c r="R22" s="8">
        <f>($L$4*$F$19)/F28</f>
        <v>6.1735822784810122</v>
      </c>
      <c r="S22" s="14">
        <f>($L$4*$F$19)/F29</f>
        <v>0.97445154845154847</v>
      </c>
      <c r="T22" s="14">
        <f>($L$4*$F$19)/F30</f>
        <v>1.6588877551020407</v>
      </c>
      <c r="X22" s="75"/>
      <c r="Y22" s="2" t="s">
        <v>137</v>
      </c>
      <c r="Z22" s="47" t="s">
        <v>204</v>
      </c>
      <c r="AA22" s="47" t="s">
        <v>204</v>
      </c>
      <c r="AB22" s="47" t="s">
        <v>204</v>
      </c>
      <c r="AC22" s="47" t="s">
        <v>204</v>
      </c>
      <c r="AD22" s="74" t="s">
        <v>204</v>
      </c>
      <c r="AE22" s="47" t="s">
        <v>204</v>
      </c>
    </row>
    <row r="23" spans="1:31" ht="21" customHeight="1" x14ac:dyDescent="0.45">
      <c r="A23" s="5"/>
      <c r="B23" s="1" t="s">
        <v>32</v>
      </c>
      <c r="C23" s="62">
        <v>100.1</v>
      </c>
      <c r="E23" s="31" t="s">
        <v>56</v>
      </c>
      <c r="F23" s="32">
        <f t="shared" si="11"/>
        <v>118.6</v>
      </c>
      <c r="H23" s="83" t="s">
        <v>67</v>
      </c>
      <c r="I23" s="83"/>
      <c r="J23" s="52">
        <f>($H$6*$F$32*$F$33*$F$20)/$F$19</f>
        <v>126009.74936386768</v>
      </c>
      <c r="K23" s="52">
        <f>($H$6*$F$32*$F$33*$F$21)/$F$19</f>
        <v>70600.802798982186</v>
      </c>
      <c r="L23" s="52">
        <f>($H$6*$F$32*$F$33*$F$22)/$F$19</f>
        <v>41499.704834605596</v>
      </c>
      <c r="M23" s="13">
        <f>($H$6*$F$32*$F$33*$F$23)/$F$19</f>
        <v>33804.017811704834</v>
      </c>
      <c r="N23" s="13">
        <f>($H$6*$F$32*$F$33*$F$24)/$F$19</f>
        <v>28531.047073791346</v>
      </c>
      <c r="O23" s="13">
        <f>($H$6*$F$32*$F$33*$F$25)/$F$19</f>
        <v>24398.178117048341</v>
      </c>
      <c r="P23" s="13">
        <f>($H$6*$F$32*$F$33*$F$26)/$F$19</f>
        <v>19837.770992366412</v>
      </c>
      <c r="Q23" s="13">
        <f>($H$6*$F$32*$F$33*$F$27)/$F$19</f>
        <v>16759.496183206105</v>
      </c>
      <c r="R23" s="13">
        <f>($H$6*$F$32*$F$33*$F$28)/$F$19</f>
        <v>9006.8040712468191</v>
      </c>
      <c r="S23" s="15">
        <f>($H$6*$F$32*$F$33*$F$29)/$F$19</f>
        <v>57062.094147582691</v>
      </c>
      <c r="T23" s="15">
        <f>($H$6*$F$32*$F$33*$F$30)/$F$19</f>
        <v>33518.992366412211</v>
      </c>
      <c r="X23" s="75"/>
      <c r="Y23" s="2" t="s">
        <v>94</v>
      </c>
      <c r="Z23" s="47" t="s">
        <v>204</v>
      </c>
      <c r="AA23" s="47" t="s">
        <v>204</v>
      </c>
      <c r="AB23" s="47" t="s">
        <v>204</v>
      </c>
      <c r="AC23" s="47" t="s">
        <v>204</v>
      </c>
      <c r="AD23" s="74" t="s">
        <v>204</v>
      </c>
      <c r="AE23" s="47" t="s">
        <v>204</v>
      </c>
    </row>
    <row r="24" spans="1:31" ht="15.75" customHeight="1" x14ac:dyDescent="0.45">
      <c r="A24" s="5"/>
      <c r="B24" s="1" t="s">
        <v>33</v>
      </c>
      <c r="C24" s="62">
        <v>85.6</v>
      </c>
      <c r="E24" s="31" t="s">
        <v>57</v>
      </c>
      <c r="F24" s="32">
        <f t="shared" si="11"/>
        <v>100.1</v>
      </c>
      <c r="H24" s="89" t="s">
        <v>69</v>
      </c>
      <c r="I24" s="89"/>
      <c r="J24" s="13">
        <f>J23-$F$36</f>
        <v>123529.78136386769</v>
      </c>
      <c r="K24" s="13">
        <f t="shared" ref="K24:O24" si="12">K23-$F$36</f>
        <v>68120.834798982192</v>
      </c>
      <c r="L24" s="13">
        <f t="shared" si="12"/>
        <v>39019.736834605596</v>
      </c>
      <c r="M24" s="13">
        <f t="shared" si="12"/>
        <v>31324.049811704834</v>
      </c>
      <c r="N24" s="13">
        <f t="shared" si="12"/>
        <v>26051.079073791345</v>
      </c>
      <c r="O24" s="13">
        <f t="shared" si="12"/>
        <v>21918.21011704834</v>
      </c>
      <c r="P24" s="13">
        <f>P23-$F$36</f>
        <v>17357.802992366411</v>
      </c>
      <c r="Q24" s="13">
        <f>Q23-$F$36</f>
        <v>14279.528183206105</v>
      </c>
      <c r="R24" s="13">
        <f t="shared" ref="R24" si="13">R23-$F$36</f>
        <v>6526.8360712468184</v>
      </c>
      <c r="S24" s="15">
        <f>S23-$F$36</f>
        <v>54582.12614758269</v>
      </c>
      <c r="T24" s="15">
        <f>T23-$F$36</f>
        <v>31039.02436641221</v>
      </c>
      <c r="X24" s="79" t="s">
        <v>30</v>
      </c>
      <c r="Y24" s="67" t="s">
        <v>95</v>
      </c>
      <c r="Z24" s="13">
        <f>(Z4*$F$32*$F$33*$F$22)/$F$19</f>
        <v>0</v>
      </c>
      <c r="AA24" s="13">
        <f t="shared" ref="AA24:AD24" si="14">(AA4*$F$32*$F$33*$F$22)/$F$19</f>
        <v>38122.377608142495</v>
      </c>
      <c r="AB24" s="13">
        <f t="shared" si="14"/>
        <v>39938.487531806612</v>
      </c>
      <c r="AC24" s="13">
        <f t="shared" si="14"/>
        <v>41005.850381679382</v>
      </c>
      <c r="AD24" s="73">
        <f t="shared" si="14"/>
        <v>41499.704834605596</v>
      </c>
      <c r="AE24" s="13">
        <f t="shared" ref="AE24" si="15">(AE4*$F$32*$F$33*$F$22)/$F$19</f>
        <v>41579.358778625952</v>
      </c>
    </row>
    <row r="25" spans="1:31" ht="15.75" customHeight="1" x14ac:dyDescent="0.45">
      <c r="A25" s="5"/>
      <c r="B25" s="1" t="s">
        <v>34</v>
      </c>
      <c r="C25" s="62">
        <v>69.599999999999994</v>
      </c>
      <c r="E25" s="31" t="s">
        <v>58</v>
      </c>
      <c r="F25" s="32">
        <f t="shared" si="11"/>
        <v>85.6</v>
      </c>
      <c r="H25" s="90" t="s">
        <v>71</v>
      </c>
      <c r="I25" s="89"/>
      <c r="J25" s="16" t="s">
        <v>72</v>
      </c>
      <c r="K25" s="16" t="s">
        <v>72</v>
      </c>
      <c r="L25" s="16" t="s">
        <v>72</v>
      </c>
      <c r="M25" s="16" t="s">
        <v>72</v>
      </c>
      <c r="N25" s="16" t="s">
        <v>72</v>
      </c>
      <c r="O25" s="16">
        <f t="shared" ref="O25" si="16">(-0.05)*(O23/($F$35*$F$37))*(LN(1-(O23/($F$35*$F$37))))</f>
        <v>0.20283086022490779</v>
      </c>
      <c r="P25" s="16">
        <f>(-0.05)*(P23/($F$35*$F$37))*(LN(1-(P23/($F$35*$F$37))))</f>
        <v>6.4355207520248564E-2</v>
      </c>
      <c r="Q25" s="16">
        <f>(-0.05)*(Q23/($F$35*$F$37))*(LN(1-(Q23/($F$35*$F$37))))</f>
        <v>3.8060050107393904E-2</v>
      </c>
      <c r="R25" s="16">
        <f t="shared" ref="R25" si="17">(-0.05)*(R23/($F$35*$F$37))*(LN(1-(R23/($F$35*$F$37))))</f>
        <v>8.1946958677622129E-3</v>
      </c>
      <c r="S25" s="71" t="s">
        <v>72</v>
      </c>
      <c r="T25" s="71" t="s">
        <v>72</v>
      </c>
      <c r="X25" s="80"/>
      <c r="Y25" s="67" t="s">
        <v>96</v>
      </c>
      <c r="Z25" s="13">
        <f>Z24-$F$36</f>
        <v>-2479.9680000000003</v>
      </c>
      <c r="AA25" s="13">
        <f t="shared" ref="AA25:AD25" si="18">AA24-$F$36</f>
        <v>35642.409608142494</v>
      </c>
      <c r="AB25" s="13">
        <f t="shared" si="18"/>
        <v>37458.519531806611</v>
      </c>
      <c r="AC25" s="13">
        <f t="shared" si="18"/>
        <v>38525.882381679381</v>
      </c>
      <c r="AD25" s="73">
        <f t="shared" si="18"/>
        <v>39019.736834605596</v>
      </c>
      <c r="AE25" s="13">
        <f t="shared" ref="AE25" si="19">AE24-$F$36</f>
        <v>39099.390778625951</v>
      </c>
    </row>
    <row r="26" spans="1:31" ht="15.75" customHeight="1" x14ac:dyDescent="0.45">
      <c r="A26" s="5"/>
      <c r="B26" s="1" t="s">
        <v>161</v>
      </c>
      <c r="C26" s="62">
        <v>58.8</v>
      </c>
      <c r="E26" s="31" t="s">
        <v>59</v>
      </c>
      <c r="F26" s="32">
        <f>C25</f>
        <v>69.599999999999994</v>
      </c>
      <c r="H26" s="63"/>
      <c r="I26" s="64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X26" s="80"/>
      <c r="Y26" s="67" t="s">
        <v>97</v>
      </c>
      <c r="Z26" s="47">
        <f t="shared" ref="Z26:AE26" si="20">(Z5*$F$19)/$F$22</f>
        <v>1.3398708791208791</v>
      </c>
      <c r="AA26" s="47">
        <f t="shared" si="20"/>
        <v>1.2437802197802199</v>
      </c>
      <c r="AB26" s="47">
        <f t="shared" si="20"/>
        <v>1.1336538461538461</v>
      </c>
      <c r="AC26" s="47">
        <f t="shared" si="20"/>
        <v>1.0256868131868133</v>
      </c>
      <c r="AD26" s="74">
        <f t="shared" si="20"/>
        <v>0.91771978021978029</v>
      </c>
      <c r="AE26" s="47">
        <f t="shared" si="20"/>
        <v>0.87993131868131869</v>
      </c>
    </row>
    <row r="27" spans="1:31" ht="15.75" customHeight="1" x14ac:dyDescent="0.45">
      <c r="A27" s="5"/>
      <c r="B27" s="66" t="s">
        <v>163</v>
      </c>
      <c r="C27" s="62">
        <v>31.6</v>
      </c>
      <c r="E27" s="31" t="s">
        <v>168</v>
      </c>
      <c r="F27" s="32">
        <f>C26</f>
        <v>58.8</v>
      </c>
      <c r="H27" s="63"/>
      <c r="I27" s="64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X27" s="80"/>
      <c r="Y27" s="2" t="s">
        <v>71</v>
      </c>
      <c r="Z27" s="47" t="s">
        <v>204</v>
      </c>
      <c r="AA27" s="47" t="s">
        <v>204</v>
      </c>
      <c r="AB27" s="47" t="s">
        <v>204</v>
      </c>
      <c r="AC27" s="47" t="s">
        <v>204</v>
      </c>
      <c r="AD27" s="74" t="s">
        <v>204</v>
      </c>
      <c r="AE27" s="47" t="s">
        <v>204</v>
      </c>
    </row>
    <row r="28" spans="1:31" ht="15.75" customHeight="1" x14ac:dyDescent="0.45">
      <c r="A28" s="5"/>
      <c r="B28" s="1" t="s">
        <v>35</v>
      </c>
      <c r="C28" s="62">
        <v>200.2</v>
      </c>
      <c r="E28" s="31" t="s">
        <v>167</v>
      </c>
      <c r="F28" s="32">
        <f>C27</f>
        <v>31.6</v>
      </c>
      <c r="P28" s="91" t="s">
        <v>86</v>
      </c>
      <c r="Q28" s="91"/>
      <c r="R28" s="91"/>
      <c r="S28" s="91"/>
      <c r="T28" s="91"/>
      <c r="X28" s="80"/>
      <c r="Y28" s="2" t="s">
        <v>98</v>
      </c>
      <c r="Z28" s="47" t="s">
        <v>204</v>
      </c>
      <c r="AA28" s="47" t="s">
        <v>204</v>
      </c>
      <c r="AB28" s="47" t="s">
        <v>204</v>
      </c>
      <c r="AC28" s="47" t="s">
        <v>204</v>
      </c>
      <c r="AD28" s="74" t="s">
        <v>204</v>
      </c>
      <c r="AE28" s="47" t="s">
        <v>204</v>
      </c>
    </row>
    <row r="29" spans="1:31" ht="15.75" customHeight="1" x14ac:dyDescent="0.45">
      <c r="A29" s="5"/>
      <c r="B29" s="1" t="s">
        <v>164</v>
      </c>
      <c r="C29" s="62">
        <v>117.6</v>
      </c>
      <c r="E29" s="31" t="s">
        <v>60</v>
      </c>
      <c r="F29" s="32">
        <f>C28</f>
        <v>200.2</v>
      </c>
      <c r="P29" s="61"/>
      <c r="Q29" s="61"/>
      <c r="R29" s="61"/>
      <c r="S29" s="61"/>
      <c r="T29" s="61"/>
      <c r="X29" s="80"/>
      <c r="Y29" s="2" t="s">
        <v>127</v>
      </c>
      <c r="Z29" s="47" t="s">
        <v>204</v>
      </c>
      <c r="AA29" s="47" t="s">
        <v>204</v>
      </c>
      <c r="AB29" s="47" t="s">
        <v>204</v>
      </c>
      <c r="AC29" s="47" t="s">
        <v>204</v>
      </c>
      <c r="AD29" s="74" t="s">
        <v>204</v>
      </c>
      <c r="AE29" s="47" t="s">
        <v>204</v>
      </c>
    </row>
    <row r="30" spans="1:31" ht="15.75" customHeight="1" x14ac:dyDescent="0.45">
      <c r="A30" s="5"/>
      <c r="B30" s="1" t="s">
        <v>43</v>
      </c>
      <c r="C30" s="62">
        <v>1.32</v>
      </c>
      <c r="E30" s="31" t="s">
        <v>166</v>
      </c>
      <c r="F30" s="32">
        <f>C29</f>
        <v>117.6</v>
      </c>
      <c r="I30" s="92" t="s">
        <v>73</v>
      </c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X30" s="80"/>
      <c r="Y30" s="2" t="s">
        <v>136</v>
      </c>
      <c r="Z30" s="47" t="s">
        <v>204</v>
      </c>
      <c r="AA30" s="47" t="s">
        <v>204</v>
      </c>
      <c r="AB30" s="47" t="s">
        <v>204</v>
      </c>
      <c r="AC30" s="47" t="s">
        <v>204</v>
      </c>
      <c r="AD30" s="74" t="s">
        <v>204</v>
      </c>
      <c r="AE30" s="47" t="s">
        <v>204</v>
      </c>
    </row>
    <row r="31" spans="1:31" ht="14.25" customHeight="1" x14ac:dyDescent="0.45">
      <c r="A31" s="5"/>
      <c r="B31" s="1" t="s">
        <v>14</v>
      </c>
      <c r="C31" s="62" t="s">
        <v>165</v>
      </c>
      <c r="E31" s="20"/>
      <c r="F31" s="23"/>
      <c r="I31" s="26" t="s">
        <v>74</v>
      </c>
      <c r="J31" s="27">
        <f>($H$6*$F$32*$F$33*$F$20)/$F$19</f>
        <v>126009.74936386768</v>
      </c>
      <c r="K31" s="27">
        <f>($H$6*$F$32*$F$33*$F$21)/$F$19</f>
        <v>70600.802798982186</v>
      </c>
      <c r="L31" s="27">
        <f>($H$6*$F$32*$F$33*$F$22)/$F$19</f>
        <v>41499.704834605596</v>
      </c>
      <c r="M31" s="27">
        <f>($H$6*$F$32*$F$33*$F$23)/$F$19</f>
        <v>33804.017811704834</v>
      </c>
      <c r="N31" s="27">
        <f>($H$6*$F$32*$F$33*$F$24)/$F$19</f>
        <v>28531.047073791346</v>
      </c>
      <c r="O31" s="27">
        <f>($H$6*$F$32*$F$33*$F$25)/$F$19</f>
        <v>24398.178117048341</v>
      </c>
      <c r="P31" s="27">
        <f>($H$6*$F$32*$F$33*$F$26)/$F$19</f>
        <v>19837.770992366412</v>
      </c>
      <c r="Q31" s="27">
        <f>($H$6*$F$32*$F$33*$F$27)/$F$19</f>
        <v>16759.496183206105</v>
      </c>
      <c r="R31" s="27">
        <f>($H$6*$F$32*$F$33*$F$28)/$F$19</f>
        <v>9006.8040712468191</v>
      </c>
      <c r="S31" s="27">
        <f>($H$6*$F$32*$F$33*$F$29)/$F$19</f>
        <v>57062.094147582691</v>
      </c>
      <c r="T31" s="27">
        <f>($H$6*$F$32*$F$33*$F$30)/$F$19</f>
        <v>33518.992366412211</v>
      </c>
      <c r="X31" s="81"/>
      <c r="Y31" s="2" t="s">
        <v>99</v>
      </c>
      <c r="Z31" s="47" t="s">
        <v>204</v>
      </c>
      <c r="AA31" s="47" t="s">
        <v>204</v>
      </c>
      <c r="AB31" s="47" t="s">
        <v>204</v>
      </c>
      <c r="AC31" s="47" t="s">
        <v>204</v>
      </c>
      <c r="AD31" s="74" t="s">
        <v>204</v>
      </c>
      <c r="AE31" s="47" t="s">
        <v>204</v>
      </c>
    </row>
    <row r="32" spans="1:31" ht="14.25" customHeight="1" x14ac:dyDescent="0.45">
      <c r="A32" s="5"/>
      <c r="B32" s="1" t="s">
        <v>15</v>
      </c>
      <c r="C32" s="62">
        <v>25.25</v>
      </c>
      <c r="E32" s="10" t="s">
        <v>62</v>
      </c>
      <c r="F32" s="70">
        <v>0.86</v>
      </c>
      <c r="I32" s="26" t="s">
        <v>71</v>
      </c>
      <c r="J32" s="30" t="s">
        <v>72</v>
      </c>
      <c r="K32" s="30" t="s">
        <v>72</v>
      </c>
      <c r="L32" s="30" t="s">
        <v>72</v>
      </c>
      <c r="M32" s="30" t="s">
        <v>72</v>
      </c>
      <c r="N32" s="30" t="s">
        <v>72</v>
      </c>
      <c r="O32" s="30">
        <f>(-0.05)*(O23/($F$35*$F$37))*(LN(1-(O23/($F$35*$F$37))))</f>
        <v>0.20283086022490779</v>
      </c>
      <c r="P32" s="30">
        <f>(-0.05)*(P23/($F$35*$F$37))*(LN(1-(P23/($F$35*$F$37))))</f>
        <v>6.4355207520248564E-2</v>
      </c>
      <c r="Q32" s="30">
        <f>(-0.05)*(Q23/($F$35*$F$37))*(LN(1-(Q23/($F$35*$F$37))))</f>
        <v>3.8060050107393904E-2</v>
      </c>
      <c r="R32" s="30">
        <f>(-0.05)*(R23/($F$35*$F$37))*(LN(1-(R23/($F$35*$F$37))))</f>
        <v>8.1946958677622129E-3</v>
      </c>
      <c r="S32" s="30" t="s">
        <v>204</v>
      </c>
      <c r="T32" s="30" t="s">
        <v>204</v>
      </c>
      <c r="X32" s="75" t="s">
        <v>31</v>
      </c>
      <c r="Y32" s="67" t="s">
        <v>100</v>
      </c>
      <c r="Z32" s="13">
        <f>(Z4*$F$32*$F$33*$F$23)/$F$19</f>
        <v>0</v>
      </c>
      <c r="AA32" s="13">
        <f t="shared" ref="AA32:AD32" si="21">(AA4*$F$32*$F$33*$F$23)/$F$19</f>
        <v>31052.980661577603</v>
      </c>
      <c r="AB32" s="13">
        <f t="shared" si="21"/>
        <v>32532.311959287526</v>
      </c>
      <c r="AC32" s="13">
        <f t="shared" si="21"/>
        <v>33401.743511450375</v>
      </c>
      <c r="AD32" s="73">
        <f t="shared" si="21"/>
        <v>33804.017811704834</v>
      </c>
      <c r="AE32" s="13">
        <f t="shared" ref="AE32" si="22">(AE4*$F$32*$F$33*$F$23)/$F$19</f>
        <v>33868.900763358775</v>
      </c>
    </row>
    <row r="33" spans="1:31" ht="14.25" customHeight="1" x14ac:dyDescent="0.45">
      <c r="A33" s="6"/>
      <c r="B33" s="1" t="s">
        <v>41</v>
      </c>
      <c r="C33" s="62">
        <v>7</v>
      </c>
      <c r="E33" s="10" t="s">
        <v>63</v>
      </c>
      <c r="F33" s="70">
        <v>1</v>
      </c>
      <c r="I33" s="26" t="s">
        <v>24</v>
      </c>
      <c r="J33" s="26">
        <f>$H$6</f>
        <v>260.5</v>
      </c>
      <c r="K33" s="26">
        <f t="shared" ref="K33:T33" si="23">$H$6</f>
        <v>260.5</v>
      </c>
      <c r="L33" s="26">
        <f t="shared" si="23"/>
        <v>260.5</v>
      </c>
      <c r="M33" s="26">
        <f t="shared" si="23"/>
        <v>260.5</v>
      </c>
      <c r="N33" s="26">
        <f t="shared" si="23"/>
        <v>260.5</v>
      </c>
      <c r="O33" s="26">
        <f t="shared" si="23"/>
        <v>260.5</v>
      </c>
      <c r="P33" s="26">
        <f t="shared" si="23"/>
        <v>260.5</v>
      </c>
      <c r="Q33" s="26">
        <f t="shared" si="23"/>
        <v>260.5</v>
      </c>
      <c r="R33" s="26">
        <f t="shared" si="23"/>
        <v>260.5</v>
      </c>
      <c r="S33" s="26">
        <f t="shared" si="23"/>
        <v>260.5</v>
      </c>
      <c r="T33" s="26">
        <f t="shared" si="23"/>
        <v>260.5</v>
      </c>
      <c r="X33" s="75"/>
      <c r="Y33" s="67" t="s">
        <v>101</v>
      </c>
      <c r="Z33" s="13">
        <f>Z32-$F$36</f>
        <v>-2479.9680000000003</v>
      </c>
      <c r="AA33" s="13">
        <f t="shared" ref="AA33:AD33" si="24">AA32-$F$36</f>
        <v>28573.012661577603</v>
      </c>
      <c r="AB33" s="13">
        <f t="shared" si="24"/>
        <v>30052.343959287526</v>
      </c>
      <c r="AC33" s="13">
        <f t="shared" si="24"/>
        <v>30921.775511450374</v>
      </c>
      <c r="AD33" s="73">
        <f t="shared" si="24"/>
        <v>31324.049811704834</v>
      </c>
      <c r="AE33" s="13">
        <f t="shared" ref="AE33" si="25">AE32-$F$36</f>
        <v>31388.932763358775</v>
      </c>
    </row>
    <row r="34" spans="1:31" ht="14.25" customHeight="1" x14ac:dyDescent="0.45">
      <c r="B34" s="1" t="s">
        <v>17</v>
      </c>
      <c r="C34" s="62"/>
      <c r="E34" s="10" t="s">
        <v>64</v>
      </c>
      <c r="F34" s="70">
        <v>0.08</v>
      </c>
      <c r="I34" s="28" t="s">
        <v>76</v>
      </c>
      <c r="J34" s="29">
        <f>J31/1000</f>
        <v>126.00974936386768</v>
      </c>
      <c r="K34" s="29">
        <f t="shared" ref="K34:T34" si="26">K31/1000</f>
        <v>70.600802798982187</v>
      </c>
      <c r="L34" s="29">
        <f t="shared" si="26"/>
        <v>41.499704834605595</v>
      </c>
      <c r="M34" s="29">
        <f t="shared" si="26"/>
        <v>33.804017811704831</v>
      </c>
      <c r="N34" s="29">
        <f t="shared" si="26"/>
        <v>28.531047073791346</v>
      </c>
      <c r="O34" s="29">
        <f t="shared" si="26"/>
        <v>24.398178117048342</v>
      </c>
      <c r="P34" s="29">
        <f t="shared" si="26"/>
        <v>19.837770992366412</v>
      </c>
      <c r="Q34" s="29">
        <f t="shared" ref="Q34:S34" si="27">Q31/1000</f>
        <v>16.759496183206107</v>
      </c>
      <c r="R34" s="29">
        <f>R31/1000</f>
        <v>9.0068040712468189</v>
      </c>
      <c r="S34" s="29">
        <f t="shared" si="27"/>
        <v>57.062094147582691</v>
      </c>
      <c r="T34" s="29">
        <f t="shared" si="26"/>
        <v>33.518992366412213</v>
      </c>
      <c r="U34">
        <v>0</v>
      </c>
      <c r="X34" s="75"/>
      <c r="Y34" s="67" t="s">
        <v>102</v>
      </c>
      <c r="Z34" s="47">
        <f>(Z5*$F$19)/$F$23</f>
        <v>1.6449005059021922</v>
      </c>
      <c r="AA34" s="47">
        <f t="shared" ref="AA34:AD34" si="28">(AA5*$F$19)/$F$23</f>
        <v>1.5269342327150086</v>
      </c>
      <c r="AB34" s="47">
        <f t="shared" si="28"/>
        <v>1.3917369308600338</v>
      </c>
      <c r="AC34" s="47">
        <f t="shared" si="28"/>
        <v>1.2591905564924115</v>
      </c>
      <c r="AD34" s="74">
        <f t="shared" si="28"/>
        <v>1.1266441821247892</v>
      </c>
      <c r="AE34" s="47">
        <f t="shared" ref="AE34" si="29">(AE5*$F$19)/$F$23</f>
        <v>1.0802529510961214</v>
      </c>
    </row>
    <row r="35" spans="1:31" ht="14.25" customHeight="1" x14ac:dyDescent="0.45">
      <c r="E35" s="10" t="s">
        <v>65</v>
      </c>
      <c r="F35" s="70">
        <v>0.8</v>
      </c>
      <c r="I35" s="19" t="s">
        <v>75</v>
      </c>
      <c r="J35" s="19">
        <v>0.16</v>
      </c>
      <c r="K35" s="19">
        <v>0.16</v>
      </c>
      <c r="L35" s="19">
        <v>0.16</v>
      </c>
      <c r="M35" s="19">
        <v>0.16</v>
      </c>
      <c r="N35" s="19">
        <v>0.16</v>
      </c>
      <c r="O35" s="19">
        <v>0.16</v>
      </c>
      <c r="P35" s="19">
        <v>0.16</v>
      </c>
      <c r="Q35" s="19">
        <v>0.16</v>
      </c>
      <c r="R35" s="19">
        <v>0.16</v>
      </c>
      <c r="S35" s="19">
        <v>0.16</v>
      </c>
      <c r="T35" s="19">
        <v>0.16</v>
      </c>
      <c r="U35" s="19">
        <v>0.16</v>
      </c>
      <c r="X35" s="75"/>
      <c r="Y35" s="2" t="s">
        <v>71</v>
      </c>
      <c r="Z35" s="47" t="s">
        <v>204</v>
      </c>
      <c r="AA35" s="47" t="s">
        <v>204</v>
      </c>
      <c r="AB35" s="47" t="s">
        <v>204</v>
      </c>
      <c r="AC35" s="47" t="s">
        <v>204</v>
      </c>
      <c r="AD35" s="74" t="s">
        <v>204</v>
      </c>
      <c r="AE35" s="47" t="s">
        <v>204</v>
      </c>
    </row>
    <row r="36" spans="1:31" ht="15" customHeight="1" x14ac:dyDescent="0.45">
      <c r="E36" s="11" t="s">
        <v>66</v>
      </c>
      <c r="F36" s="24">
        <f>F34*C14*9.81</f>
        <v>2479.9680000000003</v>
      </c>
      <c r="G36" s="12" t="s">
        <v>68</v>
      </c>
      <c r="I36" s="19" t="s">
        <v>76</v>
      </c>
      <c r="J36" s="19">
        <f>J31/1000</f>
        <v>126.00974936386768</v>
      </c>
      <c r="K36" s="19">
        <f t="shared" ref="K36:T36" si="30">K31/1000</f>
        <v>70.600802798982187</v>
      </c>
      <c r="L36" s="19">
        <f t="shared" si="30"/>
        <v>41.499704834605595</v>
      </c>
      <c r="M36" s="19">
        <f t="shared" si="30"/>
        <v>33.804017811704831</v>
      </c>
      <c r="N36" s="19">
        <f t="shared" si="30"/>
        <v>28.531047073791346</v>
      </c>
      <c r="O36" s="19">
        <f t="shared" si="30"/>
        <v>24.398178117048342</v>
      </c>
      <c r="P36" s="19">
        <f t="shared" si="30"/>
        <v>19.837770992366412</v>
      </c>
      <c r="Q36" s="19">
        <f t="shared" si="30"/>
        <v>16.759496183206107</v>
      </c>
      <c r="R36" s="19">
        <f t="shared" si="30"/>
        <v>9.0068040712468189</v>
      </c>
      <c r="S36" s="19">
        <f t="shared" si="30"/>
        <v>57.062094147582691</v>
      </c>
      <c r="T36" s="19">
        <f t="shared" si="30"/>
        <v>33.518992366412213</v>
      </c>
      <c r="X36" s="75"/>
      <c r="Y36" s="2" t="s">
        <v>103</v>
      </c>
      <c r="Z36" s="47" t="s">
        <v>204</v>
      </c>
      <c r="AA36" s="47" t="s">
        <v>204</v>
      </c>
      <c r="AB36" s="47" t="s">
        <v>204</v>
      </c>
      <c r="AC36" s="47" t="s">
        <v>204</v>
      </c>
      <c r="AD36" s="74" t="s">
        <v>204</v>
      </c>
      <c r="AE36" s="47" t="s">
        <v>204</v>
      </c>
    </row>
    <row r="37" spans="1:31" ht="14.25" customHeight="1" x14ac:dyDescent="0.45">
      <c r="E37" s="11" t="s">
        <v>70</v>
      </c>
      <c r="F37" s="25">
        <f>$C$14*9.81</f>
        <v>30999.600000000002</v>
      </c>
      <c r="G37" s="12" t="s">
        <v>68</v>
      </c>
      <c r="X37" s="75"/>
      <c r="Y37" s="2" t="s">
        <v>128</v>
      </c>
      <c r="Z37" s="47" t="s">
        <v>204</v>
      </c>
      <c r="AA37" s="47" t="s">
        <v>204</v>
      </c>
      <c r="AB37" s="47" t="s">
        <v>204</v>
      </c>
      <c r="AC37" s="47" t="s">
        <v>204</v>
      </c>
      <c r="AD37" s="74" t="s">
        <v>204</v>
      </c>
      <c r="AE37" s="47" t="s">
        <v>204</v>
      </c>
    </row>
    <row r="38" spans="1:31" ht="14.25" customHeight="1" x14ac:dyDescent="0.45">
      <c r="E38" s="86" t="s">
        <v>140</v>
      </c>
      <c r="F38" s="86"/>
      <c r="G38" s="86"/>
      <c r="H38" s="86"/>
      <c r="X38" s="75"/>
      <c r="Y38" s="2" t="s">
        <v>135</v>
      </c>
      <c r="Z38" s="47" t="s">
        <v>204</v>
      </c>
      <c r="AA38" s="47" t="s">
        <v>204</v>
      </c>
      <c r="AB38" s="47" t="s">
        <v>204</v>
      </c>
      <c r="AC38" s="47" t="s">
        <v>204</v>
      </c>
      <c r="AD38" s="74" t="s">
        <v>204</v>
      </c>
      <c r="AE38" s="47" t="s">
        <v>204</v>
      </c>
    </row>
    <row r="39" spans="1:31" ht="14.25" customHeight="1" x14ac:dyDescent="0.45">
      <c r="X39" s="75"/>
      <c r="Y39" s="2" t="s">
        <v>104</v>
      </c>
      <c r="Z39" s="47" t="s">
        <v>204</v>
      </c>
      <c r="AA39" s="47" t="s">
        <v>204</v>
      </c>
      <c r="AB39" s="47" t="s">
        <v>204</v>
      </c>
      <c r="AC39" s="47" t="s">
        <v>204</v>
      </c>
      <c r="AD39" s="74" t="s">
        <v>204</v>
      </c>
      <c r="AE39" s="47" t="s">
        <v>204</v>
      </c>
    </row>
    <row r="40" spans="1:31" ht="15" customHeight="1" x14ac:dyDescent="0.7"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X40" s="75" t="s">
        <v>32</v>
      </c>
      <c r="Y40" s="67" t="s">
        <v>105</v>
      </c>
      <c r="Z40" s="13">
        <f>(Z4*$F$32*$F$33*$F$24)/$F$19</f>
        <v>0</v>
      </c>
      <c r="AA40" s="13">
        <f t="shared" ref="AA40:AD40" si="31">(AA4*$F$32*$F$33*$F$24)/$F$19</f>
        <v>26209.134605597963</v>
      </c>
      <c r="AB40" s="13">
        <f t="shared" si="31"/>
        <v>27457.710178117042</v>
      </c>
      <c r="AC40" s="13">
        <f t="shared" si="31"/>
        <v>28191.522137404576</v>
      </c>
      <c r="AD40" s="73">
        <f t="shared" si="31"/>
        <v>28531.047073791346</v>
      </c>
      <c r="AE40" s="13">
        <f t="shared" ref="AE40" si="32">(AE4*$F$32*$F$33*$F$24)/$F$19</f>
        <v>28585.809160305344</v>
      </c>
    </row>
    <row r="41" spans="1:31" x14ac:dyDescent="0.45"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X41" s="75"/>
      <c r="Y41" s="67" t="s">
        <v>106</v>
      </c>
      <c r="Z41" s="13">
        <f>Z40-$F$36</f>
        <v>-2479.9680000000003</v>
      </c>
      <c r="AA41" s="13">
        <f t="shared" ref="AA41:AD41" si="33">AA40-$F$36</f>
        <v>23729.166605597962</v>
      </c>
      <c r="AB41" s="13">
        <f t="shared" si="33"/>
        <v>24977.742178117041</v>
      </c>
      <c r="AC41" s="13">
        <f t="shared" si="33"/>
        <v>25711.554137404575</v>
      </c>
      <c r="AD41" s="73">
        <f t="shared" si="33"/>
        <v>26051.079073791345</v>
      </c>
      <c r="AE41" s="13">
        <f t="shared" ref="AE41" si="34">AE40-$F$36</f>
        <v>26105.841160305343</v>
      </c>
    </row>
    <row r="42" spans="1:31" ht="15" customHeight="1" x14ac:dyDescent="0.45">
      <c r="E42" s="35"/>
      <c r="F42" s="18"/>
      <c r="G42" s="18"/>
      <c r="H42" s="18"/>
      <c r="I42" s="18"/>
      <c r="J42" s="18"/>
      <c r="K42" s="18"/>
      <c r="L42" s="17"/>
      <c r="M42" s="17"/>
      <c r="N42" s="17"/>
      <c r="O42" s="17"/>
      <c r="P42" s="17"/>
      <c r="Q42" s="17"/>
      <c r="R42" s="17"/>
      <c r="S42" s="17"/>
      <c r="T42" s="17"/>
      <c r="X42" s="75"/>
      <c r="Y42" s="67" t="s">
        <v>107</v>
      </c>
      <c r="Z42" s="47">
        <f>(Z5*$F$19)/$F$24</f>
        <v>1.9489030969030969</v>
      </c>
      <c r="AA42" s="47">
        <f t="shared" ref="AA42:AD42" si="35">(AA5*$F$19)/$F$24</f>
        <v>1.8091348651348653</v>
      </c>
      <c r="AB42" s="47">
        <f t="shared" si="35"/>
        <v>1.648951048951049</v>
      </c>
      <c r="AC42" s="47">
        <f t="shared" si="35"/>
        <v>1.491908091908092</v>
      </c>
      <c r="AD42" s="74">
        <f t="shared" si="35"/>
        <v>1.334865134865135</v>
      </c>
      <c r="AE42" s="47">
        <f t="shared" ref="AE42" si="36">(AE5*$F$19)/$F$24</f>
        <v>1.2799000999001</v>
      </c>
    </row>
    <row r="43" spans="1:31" ht="15" customHeight="1" x14ac:dyDescent="0.45">
      <c r="E43" s="35"/>
      <c r="F43" s="18"/>
      <c r="G43" s="18"/>
      <c r="H43" s="18"/>
      <c r="I43" s="18"/>
      <c r="J43" s="18"/>
      <c r="K43" s="18"/>
      <c r="L43" s="17"/>
      <c r="M43" s="17"/>
      <c r="N43" s="17"/>
      <c r="O43" s="17"/>
      <c r="P43" s="17"/>
      <c r="Q43" s="17"/>
      <c r="R43" s="17"/>
      <c r="S43" s="17"/>
      <c r="T43" s="17"/>
      <c r="X43" s="75"/>
      <c r="Y43" s="2" t="s">
        <v>71</v>
      </c>
      <c r="Z43" s="47" t="s">
        <v>204</v>
      </c>
      <c r="AA43" s="47" t="s">
        <v>204</v>
      </c>
      <c r="AB43" s="47" t="s">
        <v>204</v>
      </c>
      <c r="AC43" s="47" t="s">
        <v>204</v>
      </c>
      <c r="AD43" s="74" t="s">
        <v>204</v>
      </c>
      <c r="AE43" s="47" t="s">
        <v>204</v>
      </c>
    </row>
    <row r="44" spans="1:31" ht="15" customHeight="1" x14ac:dyDescent="0.45">
      <c r="E44" s="35"/>
      <c r="F44" s="18"/>
      <c r="G44" s="18"/>
      <c r="H44" s="18"/>
      <c r="I44" s="18"/>
      <c r="J44" s="18"/>
      <c r="K44" s="18"/>
      <c r="L44" s="17"/>
      <c r="M44" s="17"/>
      <c r="N44" s="17"/>
      <c r="O44" s="17"/>
      <c r="P44" s="17"/>
      <c r="Q44" s="17"/>
      <c r="R44" s="17"/>
      <c r="S44" s="17"/>
      <c r="T44" s="17"/>
      <c r="X44" s="75"/>
      <c r="Y44" s="2" t="s">
        <v>108</v>
      </c>
      <c r="Z44" s="47" t="s">
        <v>204</v>
      </c>
      <c r="AA44" s="47" t="s">
        <v>204</v>
      </c>
      <c r="AB44" s="47" t="s">
        <v>204</v>
      </c>
      <c r="AC44" s="47" t="s">
        <v>204</v>
      </c>
      <c r="AD44" s="74" t="s">
        <v>204</v>
      </c>
      <c r="AE44" s="47" t="s">
        <v>204</v>
      </c>
    </row>
    <row r="45" spans="1:31" ht="15" customHeight="1" x14ac:dyDescent="0.45">
      <c r="E45" s="35"/>
      <c r="F45" s="18"/>
      <c r="G45" s="18"/>
      <c r="H45" s="18"/>
      <c r="I45" s="18"/>
      <c r="J45" s="18"/>
      <c r="K45" s="18"/>
      <c r="L45" s="17"/>
      <c r="M45" s="17"/>
      <c r="N45" s="17"/>
      <c r="O45" s="17"/>
      <c r="P45" s="17"/>
      <c r="Q45" s="17"/>
      <c r="R45" s="17"/>
      <c r="S45" s="17"/>
      <c r="T45" s="17"/>
      <c r="X45" s="75"/>
      <c r="Y45" s="2" t="s">
        <v>129</v>
      </c>
      <c r="Z45" s="47" t="s">
        <v>204</v>
      </c>
      <c r="AA45" s="47" t="s">
        <v>204</v>
      </c>
      <c r="AB45" s="47" t="s">
        <v>204</v>
      </c>
      <c r="AC45" s="47" t="s">
        <v>204</v>
      </c>
      <c r="AD45" s="74" t="s">
        <v>204</v>
      </c>
      <c r="AE45" s="47" t="s">
        <v>204</v>
      </c>
    </row>
    <row r="46" spans="1:31" ht="15" customHeight="1" x14ac:dyDescent="0.45">
      <c r="E46" s="36"/>
      <c r="F46" s="18"/>
      <c r="G46" s="18"/>
      <c r="H46" s="18"/>
      <c r="I46" s="18"/>
      <c r="J46" s="18"/>
      <c r="K46" s="18"/>
      <c r="L46" s="17"/>
      <c r="M46" s="17"/>
      <c r="N46" s="17"/>
      <c r="O46" s="17"/>
      <c r="P46" s="17"/>
      <c r="Q46" s="17"/>
      <c r="R46" s="17"/>
      <c r="S46" s="17"/>
      <c r="T46" s="17"/>
      <c r="X46" s="75"/>
      <c r="Y46" s="2" t="s">
        <v>134</v>
      </c>
      <c r="Z46" s="47" t="s">
        <v>204</v>
      </c>
      <c r="AA46" s="47" t="s">
        <v>204</v>
      </c>
      <c r="AB46" s="47" t="s">
        <v>204</v>
      </c>
      <c r="AC46" s="47" t="s">
        <v>204</v>
      </c>
      <c r="AD46" s="74" t="s">
        <v>204</v>
      </c>
      <c r="AE46" s="47" t="s">
        <v>204</v>
      </c>
    </row>
    <row r="47" spans="1:31" ht="15" customHeight="1" x14ac:dyDescent="0.45">
      <c r="E47" s="36"/>
      <c r="F47" s="18"/>
      <c r="G47" s="18"/>
      <c r="H47" s="18"/>
      <c r="I47" s="18"/>
      <c r="J47" s="18"/>
      <c r="K47" s="18"/>
      <c r="L47" s="17"/>
      <c r="M47" s="17"/>
      <c r="N47" s="17"/>
      <c r="O47" s="17"/>
      <c r="P47" s="17"/>
      <c r="Q47" s="17"/>
      <c r="R47" s="17"/>
      <c r="S47" s="17"/>
      <c r="T47" s="17"/>
      <c r="X47" s="75"/>
      <c r="Y47" s="2" t="s">
        <v>109</v>
      </c>
      <c r="Z47" s="47" t="s">
        <v>204</v>
      </c>
      <c r="AA47" s="47" t="s">
        <v>204</v>
      </c>
      <c r="AB47" s="47" t="s">
        <v>204</v>
      </c>
      <c r="AC47" s="47" t="s">
        <v>204</v>
      </c>
      <c r="AD47" s="74" t="s">
        <v>204</v>
      </c>
      <c r="AE47" s="47" t="s">
        <v>204</v>
      </c>
    </row>
    <row r="48" spans="1:31" ht="15" customHeight="1" x14ac:dyDescent="0.45">
      <c r="E48" s="36"/>
      <c r="F48" s="18"/>
      <c r="G48" s="18"/>
      <c r="H48" s="18"/>
      <c r="I48" s="18"/>
      <c r="J48" s="18"/>
      <c r="K48" s="18"/>
      <c r="L48" s="17"/>
      <c r="M48" s="17"/>
      <c r="N48" s="17"/>
      <c r="O48" s="17"/>
      <c r="P48" s="17"/>
      <c r="Q48" s="17"/>
      <c r="R48" s="17"/>
      <c r="S48" s="17"/>
      <c r="T48" s="17"/>
      <c r="X48" s="75" t="s">
        <v>33</v>
      </c>
      <c r="Y48" s="67" t="s">
        <v>110</v>
      </c>
      <c r="Z48" s="13">
        <f t="shared" ref="Z48" si="37">(Z4*$F$32*$F$33*$F$25)/$F$19</f>
        <v>0</v>
      </c>
      <c r="AA48" s="13">
        <f t="shared" ref="AA48:AC48" si="38">(AA4*$F$32*$F$33*$F$25)/$F$19</f>
        <v>22412.60661577608</v>
      </c>
      <c r="AB48" s="13">
        <f t="shared" si="38"/>
        <v>23480.319592875316</v>
      </c>
      <c r="AC48" s="13">
        <f t="shared" si="38"/>
        <v>24107.83511450381</v>
      </c>
      <c r="AD48" s="73">
        <f>(AD4*$F$32*$F$33*$F$25)/$F$19</f>
        <v>24398.178117048341</v>
      </c>
      <c r="AE48" s="13">
        <f t="shared" ref="AE48" si="39">(AE4*$F$32*$F$33*$F$25)/$F$19</f>
        <v>24445.007633587782</v>
      </c>
    </row>
    <row r="49" spans="5:31" ht="15" customHeight="1" x14ac:dyDescent="0.45">
      <c r="E49" s="36"/>
      <c r="F49" s="37"/>
      <c r="G49" s="18"/>
      <c r="H49" s="18"/>
      <c r="I49" s="18"/>
      <c r="J49" s="18"/>
      <c r="K49" s="18"/>
      <c r="L49" s="17"/>
      <c r="M49" s="17"/>
      <c r="N49" s="17"/>
      <c r="O49" s="17"/>
      <c r="P49" s="17"/>
      <c r="Q49" s="17"/>
      <c r="R49" s="17"/>
      <c r="S49" s="17"/>
      <c r="T49" s="17"/>
      <c r="X49" s="75"/>
      <c r="Y49" s="67" t="s">
        <v>111</v>
      </c>
      <c r="Z49" s="13">
        <f>Z48-$F$36</f>
        <v>-2479.9680000000003</v>
      </c>
      <c r="AA49" s="13">
        <f>AA48-$F$36</f>
        <v>19932.638615776079</v>
      </c>
      <c r="AB49" s="13">
        <f t="shared" ref="AB49:AC49" si="40">AB48-$F$36</f>
        <v>21000.351592875315</v>
      </c>
      <c r="AC49" s="13">
        <f t="shared" si="40"/>
        <v>21627.86711450381</v>
      </c>
      <c r="AD49" s="73">
        <f>AD48-$F$36</f>
        <v>21918.21011704834</v>
      </c>
      <c r="AE49" s="13">
        <f t="shared" ref="AE49" si="41">AE48-$F$36</f>
        <v>21965.039633587781</v>
      </c>
    </row>
    <row r="50" spans="5:31" ht="15" customHeight="1" x14ac:dyDescent="0.45">
      <c r="E50" s="36"/>
      <c r="F50" s="37"/>
      <c r="G50" s="18"/>
      <c r="H50" s="18"/>
      <c r="I50" s="18"/>
      <c r="J50" s="18"/>
      <c r="K50" s="18"/>
      <c r="L50" s="17"/>
      <c r="M50" s="17"/>
      <c r="N50" s="17"/>
      <c r="O50" s="17"/>
      <c r="P50" s="17"/>
      <c r="Q50" s="17"/>
      <c r="R50" s="17"/>
      <c r="S50" s="17"/>
      <c r="T50" s="17"/>
      <c r="X50" s="75"/>
      <c r="Y50" s="67" t="s">
        <v>112</v>
      </c>
      <c r="Z50" s="47">
        <f t="shared" ref="Z50" si="42">(Z5*$F$19)/$F$25</f>
        <v>2.279032710280374</v>
      </c>
      <c r="AA50" s="47">
        <f t="shared" ref="AA50:AC50" si="43">(AA5*$F$19)/$F$25</f>
        <v>2.1155887850467292</v>
      </c>
      <c r="AB50" s="47">
        <f t="shared" si="43"/>
        <v>1.9282710280373834</v>
      </c>
      <c r="AC50" s="47">
        <f t="shared" si="43"/>
        <v>1.7446261682242992</v>
      </c>
      <c r="AD50" s="74">
        <f>(AD5*$F$19)/$F$25</f>
        <v>1.5609813084112152</v>
      </c>
      <c r="AE50" s="47">
        <f t="shared" ref="AE50" si="44">(AE5*$F$19)/$F$25</f>
        <v>1.4967056074766356</v>
      </c>
    </row>
    <row r="51" spans="5:31" ht="15" customHeight="1" x14ac:dyDescent="0.45">
      <c r="E51" s="36"/>
      <c r="F51" s="37"/>
      <c r="G51" s="18"/>
      <c r="H51" s="18"/>
      <c r="I51" s="18"/>
      <c r="J51" s="18"/>
      <c r="K51" s="18"/>
      <c r="L51" s="17"/>
      <c r="M51" s="17"/>
      <c r="N51" s="17"/>
      <c r="O51" s="17"/>
      <c r="P51" s="17"/>
      <c r="Q51" s="17"/>
      <c r="R51" s="17"/>
      <c r="S51" s="17"/>
      <c r="T51" s="17"/>
      <c r="X51" s="75"/>
      <c r="Y51" s="2" t="s">
        <v>71</v>
      </c>
      <c r="Z51" s="47">
        <f>(-0.05)*(Z48/($F$35*$F$37))*LN(1-(Z48/($F$35*$F$37)))</f>
        <v>0</v>
      </c>
      <c r="AA51" s="47">
        <f>(-0.05)*(AA48/($F$35*$F$37))*LN(1-(AA48/($F$35*$F$37)))</f>
        <v>0.10577272100399436</v>
      </c>
      <c r="AB51" s="47">
        <f t="shared" ref="AB51:AC51" si="45">(-0.05)*(AB48/($F$35*$F$37))*LN(1-(AB48/($F$35*$F$37)))</f>
        <v>0.13888048187227736</v>
      </c>
      <c r="AC51" s="48">
        <f t="shared" si="45"/>
        <v>0.17396867240083974</v>
      </c>
      <c r="AD51" s="74">
        <f>(-0.05)*(AD48/($F$35*$F$37))*LN(1-(AD48/($F$35*$F$37)))</f>
        <v>0.20283086022490779</v>
      </c>
      <c r="AE51" s="47">
        <f t="shared" ref="AE51" si="46">(-0.05)*(AE48/($F$35*$F$37))*LN(1-(AE48/($F$35*$F$37)))</f>
        <v>0.20933237752119904</v>
      </c>
    </row>
    <row r="52" spans="5:31" ht="15" customHeight="1" x14ac:dyDescent="0.45">
      <c r="E52" s="36"/>
      <c r="F52" s="37"/>
      <c r="G52" s="18"/>
      <c r="H52" s="18"/>
      <c r="I52" s="18"/>
      <c r="J52" s="18"/>
      <c r="K52" s="18"/>
      <c r="L52" s="17"/>
      <c r="M52" s="17"/>
      <c r="N52" s="17"/>
      <c r="O52" s="17"/>
      <c r="P52" s="17"/>
      <c r="Q52" s="17"/>
      <c r="R52" s="17"/>
      <c r="S52" s="17"/>
      <c r="T52" s="17"/>
      <c r="X52" s="75"/>
      <c r="Y52" s="2" t="s">
        <v>113</v>
      </c>
      <c r="Z52" s="47">
        <f>Z50*(1-Z51)</f>
        <v>2.279032710280374</v>
      </c>
      <c r="AA52" s="47">
        <f>AA50*(1-AA51)</f>
        <v>1.8918172027268021</v>
      </c>
      <c r="AB52" s="47">
        <f>AB50*(1-AB51)</f>
        <v>1.6604718184832001</v>
      </c>
      <c r="AC52" s="47">
        <f t="shared" ref="AC52" si="47">AC50*(1-AC51)</f>
        <v>1.4411158699025537</v>
      </c>
      <c r="AD52" s="74">
        <f>AD50*(1-AD51)</f>
        <v>1.2443661268311663</v>
      </c>
      <c r="AE52" s="47">
        <f t="shared" ref="AE52" si="48">AE50*(1-AE51)</f>
        <v>1.1833966642142411</v>
      </c>
    </row>
    <row r="53" spans="5:31" ht="15" customHeight="1" x14ac:dyDescent="0.45">
      <c r="E53" s="36"/>
      <c r="F53" s="37"/>
      <c r="G53" s="18"/>
      <c r="H53" s="18"/>
      <c r="I53" s="18"/>
      <c r="J53" s="18"/>
      <c r="K53" s="18"/>
      <c r="L53" s="17"/>
      <c r="M53" s="17"/>
      <c r="N53" s="17"/>
      <c r="O53" s="17"/>
      <c r="P53" s="17"/>
      <c r="Q53" s="17"/>
      <c r="R53" s="17"/>
      <c r="S53" s="17"/>
      <c r="T53" s="17"/>
      <c r="X53" s="75"/>
      <c r="Y53" s="2" t="s">
        <v>130</v>
      </c>
      <c r="Z53" s="47">
        <f>Z49*Z52/1000</f>
        <v>-5.6519281924485991</v>
      </c>
      <c r="AA53" s="47">
        <f>AA49*AA52/1000</f>
        <v>37.708908629061739</v>
      </c>
      <c r="AB53" s="47">
        <f t="shared" ref="AB53:AC53" si="49">AB49*AB52/1000</f>
        <v>34.870491998208244</v>
      </c>
      <c r="AC53" s="47">
        <f t="shared" si="49"/>
        <v>31.168262530854989</v>
      </c>
      <c r="AD53" s="74">
        <f>AD49*AD52/1000</f>
        <v>27.274278230423125</v>
      </c>
      <c r="AE53" s="47">
        <f t="shared" ref="AE53" si="50">AE49*AE52/1000</f>
        <v>25.993354631721378</v>
      </c>
    </row>
    <row r="54" spans="5:31" ht="15" customHeight="1" x14ac:dyDescent="0.45">
      <c r="E54" s="36"/>
      <c r="F54" s="18"/>
      <c r="G54" s="18"/>
      <c r="H54" s="18"/>
      <c r="I54" s="18"/>
      <c r="J54" s="18"/>
      <c r="K54" s="18"/>
      <c r="L54" s="17"/>
      <c r="M54" s="17"/>
      <c r="N54" s="17"/>
      <c r="O54" s="17"/>
      <c r="P54" s="17"/>
      <c r="Q54" s="17"/>
      <c r="R54" s="17"/>
      <c r="S54" s="17"/>
      <c r="T54" s="17"/>
      <c r="X54" s="75"/>
      <c r="Y54" s="2" t="s">
        <v>133</v>
      </c>
      <c r="Z54" s="47">
        <f t="shared" ref="Z54" si="51">(1000*Z6)/Z53</f>
        <v>-884.65384374139353</v>
      </c>
      <c r="AA54" s="47">
        <f t="shared" ref="AA54:AC54" si="52">(1000*AA6)/AA53</f>
        <v>377.89478714899008</v>
      </c>
      <c r="AB54" s="47">
        <f t="shared" si="52"/>
        <v>389.44102081203164</v>
      </c>
      <c r="AC54" s="47">
        <f t="shared" si="52"/>
        <v>404.89905356472292</v>
      </c>
      <c r="AD54" s="74">
        <f>(1000*AD6)/AD53</f>
        <v>419.07616778838877</v>
      </c>
      <c r="AE54" s="47">
        <f t="shared" ref="AE54" si="53">(1000*AE6)/AE53</f>
        <v>422.03094427114064</v>
      </c>
    </row>
    <row r="55" spans="5:31" ht="15" customHeight="1" x14ac:dyDescent="0.45">
      <c r="E55" s="36"/>
      <c r="F55" s="18"/>
      <c r="G55" s="18"/>
      <c r="H55" s="18"/>
      <c r="I55" s="18"/>
      <c r="J55" s="18"/>
      <c r="K55" s="18"/>
      <c r="L55" s="17"/>
      <c r="M55" s="17"/>
      <c r="N55" s="17"/>
      <c r="O55" s="17"/>
      <c r="P55" s="17"/>
      <c r="Q55" s="17"/>
      <c r="R55" s="17"/>
      <c r="S55" s="17"/>
      <c r="T55" s="17"/>
      <c r="X55" s="75"/>
      <c r="Y55" s="2" t="s">
        <v>114</v>
      </c>
      <c r="Z55" s="47" t="s">
        <v>204</v>
      </c>
      <c r="AA55" s="47">
        <f>AA53/AA7</f>
        <v>0.68313240270039377</v>
      </c>
      <c r="AB55" s="47">
        <f t="shared" ref="AB55:AC55" si="54">AB53/AB7</f>
        <v>0.66243335862857611</v>
      </c>
      <c r="AC55" s="47">
        <f t="shared" si="54"/>
        <v>0.63738778181707545</v>
      </c>
      <c r="AD55" s="74">
        <f>AD53/AD7</f>
        <v>0.61567219481767776</v>
      </c>
      <c r="AE55" s="47">
        <f t="shared" ref="AE55" si="55">AE53/AE7</f>
        <v>0.61160834427579713</v>
      </c>
    </row>
    <row r="56" spans="5:31" ht="15" customHeight="1" x14ac:dyDescent="0.45">
      <c r="E56" s="36"/>
      <c r="F56" s="18"/>
      <c r="G56" s="18"/>
      <c r="H56" s="18"/>
      <c r="I56" s="18"/>
      <c r="J56" s="18"/>
      <c r="K56" s="18"/>
      <c r="L56" s="17"/>
      <c r="M56" s="17"/>
      <c r="N56" s="17"/>
      <c r="O56" s="17"/>
      <c r="P56" s="17"/>
      <c r="Q56" s="17"/>
      <c r="R56" s="17"/>
      <c r="S56" s="17"/>
      <c r="T56" s="17"/>
      <c r="X56" s="75" t="s">
        <v>34</v>
      </c>
      <c r="Y56" s="67" t="s">
        <v>115</v>
      </c>
      <c r="Z56" s="13">
        <f t="shared" ref="Z56" si="56">(Z4*$F$32*$F$33*$F$26)/$F$19</f>
        <v>0</v>
      </c>
      <c r="AA56" s="13">
        <f t="shared" ref="AA56:AD56" si="57">(AA4*$F$32*$F$33*$F$26)/$F$19</f>
        <v>18223.334351145037</v>
      </c>
      <c r="AB56" s="13">
        <f t="shared" si="57"/>
        <v>19091.4748091603</v>
      </c>
      <c r="AC56" s="13">
        <f t="shared" si="57"/>
        <v>19601.697709923657</v>
      </c>
      <c r="AD56" s="73">
        <f t="shared" si="57"/>
        <v>19837.770992366412</v>
      </c>
      <c r="AE56" s="13">
        <f t="shared" ref="AE56" si="58">(AE4*$F$32*$F$33*$F$26)/$F$19</f>
        <v>19875.847328244272</v>
      </c>
    </row>
    <row r="57" spans="5:31" ht="15" customHeight="1" x14ac:dyDescent="0.45">
      <c r="E57" s="36"/>
      <c r="F57" s="37"/>
      <c r="G57" s="18"/>
      <c r="H57" s="18"/>
      <c r="I57" s="18"/>
      <c r="J57" s="18"/>
      <c r="K57" s="18"/>
      <c r="L57" s="17"/>
      <c r="M57" s="17"/>
      <c r="N57" s="17"/>
      <c r="O57" s="17"/>
      <c r="P57" s="17"/>
      <c r="Q57" s="17"/>
      <c r="R57" s="17"/>
      <c r="S57" s="17"/>
      <c r="T57" s="17"/>
      <c r="X57" s="75"/>
      <c r="Y57" s="67" t="s">
        <v>116</v>
      </c>
      <c r="Z57" s="13">
        <f t="shared" ref="Z57" si="59">Z56-$F$36</f>
        <v>-2479.9680000000003</v>
      </c>
      <c r="AA57" s="13">
        <f t="shared" ref="AA57:AD57" si="60">AA56-$F$36</f>
        <v>15743.366351145036</v>
      </c>
      <c r="AB57" s="13">
        <f t="shared" si="60"/>
        <v>16611.506809160299</v>
      </c>
      <c r="AC57" s="13">
        <f t="shared" si="60"/>
        <v>17121.729709923657</v>
      </c>
      <c r="AD57" s="73">
        <f t="shared" si="60"/>
        <v>17357.802992366411</v>
      </c>
      <c r="AE57" s="13">
        <f t="shared" ref="AE57" si="61">AE56-$F$36</f>
        <v>17395.879328244271</v>
      </c>
    </row>
    <row r="58" spans="5:31" ht="15" customHeight="1" x14ac:dyDescent="0.45">
      <c r="E58" s="36"/>
      <c r="F58" s="37"/>
      <c r="G58" s="18"/>
      <c r="H58" s="18"/>
      <c r="I58" s="18"/>
      <c r="J58" s="18"/>
      <c r="K58" s="18"/>
      <c r="L58" s="17"/>
      <c r="M58" s="17"/>
      <c r="N58" s="17"/>
      <c r="O58" s="17"/>
      <c r="P58" s="17"/>
      <c r="Q58" s="17"/>
      <c r="R58" s="17"/>
      <c r="S58" s="17"/>
      <c r="T58" s="17"/>
      <c r="X58" s="75"/>
      <c r="Y58" s="67" t="s">
        <v>117</v>
      </c>
      <c r="Z58" s="47">
        <f t="shared" ref="Z58" si="62">(Z5*$F$19)/$F$26</f>
        <v>2.802948275862069</v>
      </c>
      <c r="AA58" s="47">
        <f t="shared" ref="AA58:AD58" si="63">(AA5*$F$19)/$F$26</f>
        <v>2.6019310344827589</v>
      </c>
      <c r="AB58" s="47">
        <f t="shared" si="63"/>
        <v>2.3715517241379311</v>
      </c>
      <c r="AC58" s="47">
        <f t="shared" si="63"/>
        <v>2.1456896551724141</v>
      </c>
      <c r="AD58" s="74">
        <f t="shared" si="63"/>
        <v>1.9198275862068968</v>
      </c>
      <c r="AE58" s="47">
        <f t="shared" ref="AE58" si="64">(AE5*$F$19)/$F$26</f>
        <v>1.8407758620689656</v>
      </c>
    </row>
    <row r="59" spans="5:31" ht="15" customHeight="1" x14ac:dyDescent="0.45">
      <c r="E59" s="36"/>
      <c r="F59" s="37"/>
      <c r="G59" s="18"/>
      <c r="H59" s="18"/>
      <c r="I59" s="18"/>
      <c r="J59" s="18"/>
      <c r="K59" s="18"/>
      <c r="L59" s="17"/>
      <c r="M59" s="17"/>
      <c r="N59" s="17"/>
      <c r="O59" s="17"/>
      <c r="P59" s="17"/>
      <c r="Q59" s="17"/>
      <c r="R59" s="17"/>
      <c r="S59" s="17"/>
      <c r="T59" s="17"/>
      <c r="X59" s="75"/>
      <c r="Y59" s="2" t="s">
        <v>71</v>
      </c>
      <c r="Z59" s="47">
        <f>(-0.05)*(Z56/($F$35*$F$37))*LN(1-(Z56/($F$35*$F$37)))</f>
        <v>0</v>
      </c>
      <c r="AA59" s="47">
        <f>(-0.05)*(AA56/($F$35*$F$37))*LN(1-(AA56/($F$35*$F$37)))</f>
        <v>4.876831224569713E-2</v>
      </c>
      <c r="AB59" s="47">
        <f t="shared" ref="AB59:AD59" si="65">(-0.05)*(AB56/($F$35*$F$37))*LN(1-(AB56/($F$35*$F$37)))</f>
        <v>5.6540982970463741E-2</v>
      </c>
      <c r="AC59" s="48">
        <f t="shared" si="65"/>
        <v>6.175247644319324E-2</v>
      </c>
      <c r="AD59" s="74">
        <f t="shared" si="65"/>
        <v>6.4355207520248564E-2</v>
      </c>
      <c r="AE59" s="47">
        <f t="shared" ref="AE59" si="66">(-0.05)*(AE56/($F$35*$F$37))*LN(1-(AE56/($F$35*$F$37)))</f>
        <v>6.4787423583320097E-2</v>
      </c>
    </row>
    <row r="60" spans="5:31" ht="15" customHeight="1" x14ac:dyDescent="0.45">
      <c r="E60" s="36"/>
      <c r="F60" s="37"/>
      <c r="G60" s="18"/>
      <c r="H60" s="18"/>
      <c r="I60" s="18"/>
      <c r="J60" s="18"/>
      <c r="K60" s="18"/>
      <c r="L60" s="17"/>
      <c r="M60" s="17"/>
      <c r="N60" s="17"/>
      <c r="O60" s="17"/>
      <c r="P60" s="17"/>
      <c r="Q60" s="17"/>
      <c r="R60" s="17"/>
      <c r="S60" s="17"/>
      <c r="T60" s="17"/>
      <c r="X60" s="75"/>
      <c r="Y60" s="2" t="s">
        <v>118</v>
      </c>
      <c r="Z60" s="47">
        <f>Z58*(1-Z59)</f>
        <v>2.802948275862069</v>
      </c>
      <c r="AA60" s="47">
        <f>AA58*(1-AA59)</f>
        <v>2.475039249351334</v>
      </c>
      <c r="AB60" s="47">
        <f t="shared" ref="AB60:AD60" si="67">AB58*(1-AB59)</f>
        <v>2.2374618584898744</v>
      </c>
      <c r="AC60" s="47">
        <f t="shared" si="67"/>
        <v>2.0131880052869762</v>
      </c>
      <c r="AD60" s="74">
        <f t="shared" si="67"/>
        <v>1.796276683493454</v>
      </c>
      <c r="AE60" s="47">
        <f t="shared" ref="AE60" si="68">AE58*(1-AE59)</f>
        <v>1.7215167365711523</v>
      </c>
    </row>
    <row r="61" spans="5:31" ht="15" customHeight="1" x14ac:dyDescent="0.45">
      <c r="E61" s="36"/>
      <c r="F61" s="37"/>
      <c r="G61" s="18"/>
      <c r="H61" s="18"/>
      <c r="I61" s="18"/>
      <c r="J61" s="18"/>
      <c r="K61" s="18"/>
      <c r="L61" s="17"/>
      <c r="M61" s="17"/>
      <c r="N61" s="17"/>
      <c r="O61" s="17"/>
      <c r="P61" s="17"/>
      <c r="Q61" s="17"/>
      <c r="R61" s="17"/>
      <c r="S61" s="17"/>
      <c r="T61" s="17"/>
      <c r="X61" s="75"/>
      <c r="Y61" s="2" t="s">
        <v>131</v>
      </c>
      <c r="Z61" s="47">
        <f>Z57*Z60/1000</f>
        <v>-6.9512220297931044</v>
      </c>
      <c r="AA61" s="47">
        <f>AA57*AA60/1000</f>
        <v>38.965449636001061</v>
      </c>
      <c r="AB61" s="47">
        <f t="shared" ref="AB61:AD61" si="69">AB57*AB60/1000</f>
        <v>37.167612897541005</v>
      </c>
      <c r="AC61" s="47">
        <f t="shared" si="69"/>
        <v>34.469260881783967</v>
      </c>
      <c r="AD61" s="74">
        <f t="shared" si="69"/>
        <v>31.179416791860689</v>
      </c>
      <c r="AE61" s="47">
        <f t="shared" ref="AE61" si="70">AE57*AE60/1000</f>
        <v>29.947297410944646</v>
      </c>
    </row>
    <row r="62" spans="5:31" ht="15" customHeight="1" x14ac:dyDescent="0.45">
      <c r="E62" s="36"/>
      <c r="F62" s="18"/>
      <c r="G62" s="18"/>
      <c r="H62" s="18"/>
      <c r="I62" s="18"/>
      <c r="J62" s="18"/>
      <c r="K62" s="18"/>
      <c r="L62" s="17"/>
      <c r="M62" s="17"/>
      <c r="N62" s="17"/>
      <c r="O62" s="17"/>
      <c r="P62" s="17"/>
      <c r="Q62" s="17"/>
      <c r="R62" s="17"/>
      <c r="S62" s="17"/>
      <c r="T62" s="17"/>
      <c r="X62" s="75"/>
      <c r="Y62" s="2" t="s">
        <v>132</v>
      </c>
      <c r="Z62" s="47">
        <f t="shared" ref="Z62" si="71">(1000*Z6)/Z61</f>
        <v>-719.29798509814248</v>
      </c>
      <c r="AA62" s="47">
        <f t="shared" ref="AA62:AD62" si="72">(1000*AA6)/AA61</f>
        <v>365.70859910812123</v>
      </c>
      <c r="AB62" s="47">
        <f t="shared" si="72"/>
        <v>365.37186387072086</v>
      </c>
      <c r="AC62" s="47">
        <f t="shared" si="72"/>
        <v>366.12331326980421</v>
      </c>
      <c r="AD62" s="74">
        <f t="shared" si="72"/>
        <v>366.58799862426463</v>
      </c>
      <c r="AE62" s="47">
        <f t="shared" ref="AE62" si="73">(1000*AE6)/AE61</f>
        <v>366.31018316834377</v>
      </c>
    </row>
    <row r="63" spans="5:31" ht="15" customHeight="1" x14ac:dyDescent="0.45">
      <c r="E63" s="36"/>
      <c r="F63" s="18"/>
      <c r="G63" s="18"/>
      <c r="H63" s="18"/>
      <c r="I63" s="18"/>
      <c r="J63" s="18"/>
      <c r="K63" s="18"/>
      <c r="L63" s="17"/>
      <c r="M63" s="17"/>
      <c r="N63" s="17"/>
      <c r="O63" s="17"/>
      <c r="P63" s="17"/>
      <c r="Q63" s="17"/>
      <c r="R63" s="17"/>
      <c r="S63" s="17"/>
      <c r="T63" s="17"/>
      <c r="X63" s="75"/>
      <c r="Y63" s="2" t="s">
        <v>119</v>
      </c>
      <c r="Z63" s="47" t="s">
        <v>204</v>
      </c>
      <c r="AA63" s="47">
        <f>AA61/AA7</f>
        <v>0.70589582673914963</v>
      </c>
      <c r="AB63" s="47">
        <f t="shared" ref="AB63:AD63" si="74">AB61/AB7</f>
        <v>0.70607167358550538</v>
      </c>
      <c r="AC63" s="47">
        <f t="shared" si="74"/>
        <v>0.70489286056817935</v>
      </c>
      <c r="AD63" s="74">
        <f t="shared" si="74"/>
        <v>0.70382430681401109</v>
      </c>
      <c r="AE63" s="47">
        <f t="shared" ref="AE63" si="75">AE61/AE7</f>
        <v>0.70464229202222695</v>
      </c>
    </row>
    <row r="64" spans="5:31" ht="15" customHeight="1" x14ac:dyDescent="0.45">
      <c r="E64" s="36"/>
      <c r="F64" s="18"/>
      <c r="G64" s="18"/>
      <c r="H64" s="18"/>
      <c r="I64" s="18"/>
      <c r="J64" s="18"/>
      <c r="K64" s="18"/>
      <c r="L64" s="17"/>
      <c r="M64" s="17"/>
      <c r="N64" s="17"/>
      <c r="O64" s="17"/>
      <c r="P64" s="17"/>
      <c r="Q64" s="17"/>
      <c r="R64" s="17"/>
      <c r="S64" s="17"/>
      <c r="T64" s="17"/>
      <c r="X64" s="75" t="s">
        <v>161</v>
      </c>
      <c r="Y64" s="67" t="s">
        <v>176</v>
      </c>
      <c r="Z64" s="13">
        <f t="shared" ref="Z64" si="76">(Z4*$F$32*$F$33*$F$27)/$F$19</f>
        <v>0</v>
      </c>
      <c r="AA64" s="13">
        <f t="shared" ref="AA64:AD64" si="77">(AA4*$F$32*$F$33*$F$27)/$F$19</f>
        <v>15395.575572519083</v>
      </c>
      <c r="AB64" s="13">
        <f t="shared" si="77"/>
        <v>16129.004580152668</v>
      </c>
      <c r="AC64" s="13">
        <f t="shared" si="77"/>
        <v>16560.054961832058</v>
      </c>
      <c r="AD64" s="73">
        <f t="shared" si="77"/>
        <v>16759.496183206105</v>
      </c>
      <c r="AE64" s="13">
        <f t="shared" ref="AE64" si="78">(AE4*$F$32*$F$33*$F$27)/$F$19</f>
        <v>16791.664122137405</v>
      </c>
    </row>
    <row r="65" spans="5:31" ht="15" customHeight="1" x14ac:dyDescent="0.45">
      <c r="E65" s="36"/>
      <c r="F65" s="37"/>
      <c r="G65" s="18"/>
      <c r="H65" s="18"/>
      <c r="I65" s="18"/>
      <c r="J65" s="18"/>
      <c r="K65" s="18"/>
      <c r="L65" s="17"/>
      <c r="M65" s="17"/>
      <c r="N65" s="17"/>
      <c r="O65" s="17"/>
      <c r="P65" s="17"/>
      <c r="Q65" s="17"/>
      <c r="R65" s="17"/>
      <c r="S65" s="17"/>
      <c r="T65" s="17"/>
      <c r="X65" s="75"/>
      <c r="Y65" s="67" t="s">
        <v>177</v>
      </c>
      <c r="Z65" s="13">
        <f t="shared" ref="Z65" si="79">Z64-$F$36</f>
        <v>-2479.9680000000003</v>
      </c>
      <c r="AA65" s="13">
        <f t="shared" ref="AA65:AD65" si="80">AA64-$F$36</f>
        <v>12915.607572519082</v>
      </c>
      <c r="AB65" s="13">
        <f t="shared" si="80"/>
        <v>13649.036580152668</v>
      </c>
      <c r="AC65" s="13">
        <f t="shared" si="80"/>
        <v>14080.086961832058</v>
      </c>
      <c r="AD65" s="73">
        <f t="shared" si="80"/>
        <v>14279.528183206105</v>
      </c>
      <c r="AE65" s="13">
        <f t="shared" ref="AE65" si="81">AE64-$F$36</f>
        <v>14311.696122137404</v>
      </c>
    </row>
    <row r="66" spans="5:31" ht="15" customHeight="1" x14ac:dyDescent="0.45">
      <c r="E66" s="36"/>
      <c r="F66" s="37"/>
      <c r="G66" s="18"/>
      <c r="H66" s="18"/>
      <c r="I66" s="18"/>
      <c r="J66" s="18"/>
      <c r="K66" s="18"/>
      <c r="L66" s="17"/>
      <c r="M66" s="17"/>
      <c r="N66" s="17"/>
      <c r="O66" s="17"/>
      <c r="P66" s="17"/>
      <c r="Q66" s="17"/>
      <c r="R66" s="17"/>
      <c r="S66" s="17"/>
      <c r="T66" s="17"/>
      <c r="U66" s="20"/>
      <c r="X66" s="75"/>
      <c r="Y66" s="67" t="s">
        <v>178</v>
      </c>
      <c r="Z66" s="47">
        <f t="shared" ref="Z66" si="82">(Z5*$F$19)/$F$27</f>
        <v>3.3177755102040813</v>
      </c>
      <c r="AA66" s="47">
        <f t="shared" ref="AA66:AD66" si="83">(AA5*$F$19)/$F$27</f>
        <v>3.079836734693878</v>
      </c>
      <c r="AB66" s="47">
        <f t="shared" si="83"/>
        <v>2.8071428571428574</v>
      </c>
      <c r="AC66" s="47">
        <f t="shared" si="83"/>
        <v>2.5397959183673473</v>
      </c>
      <c r="AD66" s="74">
        <f t="shared" si="83"/>
        <v>2.2724489795918368</v>
      </c>
      <c r="AE66" s="47">
        <f t="shared" ref="AE66" si="84">(AE5*$F$19)/$F$27</f>
        <v>2.1788775510204084</v>
      </c>
    </row>
    <row r="67" spans="5:31" ht="15" customHeight="1" x14ac:dyDescent="0.45">
      <c r="E67" s="36"/>
      <c r="F67" s="37"/>
      <c r="G67" s="18"/>
      <c r="H67" s="18"/>
      <c r="I67" s="18"/>
      <c r="J67" s="18"/>
      <c r="K67" s="18"/>
      <c r="L67" s="17"/>
      <c r="M67" s="17"/>
      <c r="N67" s="17"/>
      <c r="O67" s="17"/>
      <c r="P67" s="17"/>
      <c r="Q67" s="17"/>
      <c r="R67" s="17"/>
      <c r="S67" s="17"/>
      <c r="T67" s="17"/>
      <c r="U67" s="20"/>
      <c r="X67" s="75"/>
      <c r="Y67" s="2" t="s">
        <v>71</v>
      </c>
      <c r="Z67" s="47">
        <f>(-0.05)*(Z64/($F$35*$F$37))*LN(1-(Z64/($F$35*$F$37)))</f>
        <v>0</v>
      </c>
      <c r="AA67" s="47">
        <f>(-0.05)*(AA64/($F$35*$F$37))*LN(1-(AA64/($F$35*$F$37)))</f>
        <v>3.0098878749685778E-2</v>
      </c>
      <c r="AB67" s="47">
        <f t="shared" ref="AB67:AD67" si="85">(-0.05)*(AB64/($F$35*$F$37))*LN(1-(AB64/($F$35*$F$37)))</f>
        <v>3.4173251027706061E-2</v>
      </c>
      <c r="AC67" s="48">
        <f t="shared" si="85"/>
        <v>3.6789034505102104E-2</v>
      </c>
      <c r="AD67" s="74">
        <f t="shared" si="85"/>
        <v>3.8060050107393904E-2</v>
      </c>
      <c r="AE67" s="47">
        <f t="shared" ref="AE67" si="86">(-0.05)*(AE64/($F$35*$F$37))*LN(1-(AE64/($F$35*$F$37)))</f>
        <v>3.8268822435774452E-2</v>
      </c>
    </row>
    <row r="68" spans="5:31" ht="15" customHeight="1" x14ac:dyDescent="0.45">
      <c r="E68" s="36"/>
      <c r="F68" s="37"/>
      <c r="G68" s="18"/>
      <c r="H68" s="18"/>
      <c r="I68" s="18"/>
      <c r="J68" s="18"/>
      <c r="K68" s="18"/>
      <c r="L68" s="17"/>
      <c r="M68" s="17"/>
      <c r="N68" s="17"/>
      <c r="O68" s="17"/>
      <c r="P68" s="17"/>
      <c r="Q68" s="17"/>
      <c r="R68" s="17"/>
      <c r="S68" s="17"/>
      <c r="T68" s="17"/>
      <c r="U68" s="20"/>
      <c r="X68" s="75"/>
      <c r="Y68" s="2" t="s">
        <v>179</v>
      </c>
      <c r="Z68" s="47">
        <f>Z66*(1-Z67)</f>
        <v>3.3177755102040813</v>
      </c>
      <c r="AA68" s="47">
        <f>AA66*(1-AA67)</f>
        <v>2.9871371022474991</v>
      </c>
      <c r="AB68" s="47">
        <f t="shared" ref="AB68:AD68" si="87">AB66*(1-AB67)</f>
        <v>2.7112136596150824</v>
      </c>
      <c r="AC68" s="47">
        <f t="shared" si="87"/>
        <v>2.4463592786906134</v>
      </c>
      <c r="AD68" s="74">
        <f t="shared" si="87"/>
        <v>2.1859594575620753</v>
      </c>
      <c r="AE68" s="47">
        <f t="shared" ref="AE68" si="88">AE66*(1-AE67)</f>
        <v>2.0954944729111133</v>
      </c>
    </row>
    <row r="69" spans="5:31" ht="15" customHeight="1" x14ac:dyDescent="0.45">
      <c r="E69" s="36"/>
      <c r="F69" s="37"/>
      <c r="G69" s="18"/>
      <c r="H69" s="18"/>
      <c r="I69" s="18"/>
      <c r="J69" s="18"/>
      <c r="K69" s="18"/>
      <c r="L69" s="17"/>
      <c r="M69" s="17"/>
      <c r="N69" s="17"/>
      <c r="O69" s="17"/>
      <c r="P69" s="17"/>
      <c r="Q69" s="17"/>
      <c r="R69" s="17"/>
      <c r="S69" s="17"/>
      <c r="T69" s="17"/>
      <c r="U69" s="20"/>
      <c r="X69" s="75"/>
      <c r="Y69" s="2" t="s">
        <v>180</v>
      </c>
      <c r="Z69" s="47">
        <f>Z65*Z68/1000</f>
        <v>-8.2279770964897967</v>
      </c>
      <c r="AA69" s="47">
        <f>AA65*AA68/1000</f>
        <v>38.580690577940508</v>
      </c>
      <c r="AB69" s="47">
        <f t="shared" ref="AB69:AD69" si="89">AB65*AB68/1000</f>
        <v>37.005454416695841</v>
      </c>
      <c r="AC69" s="47">
        <f t="shared" si="89"/>
        <v>34.444951383848583</v>
      </c>
      <c r="AD69" s="74">
        <f t="shared" si="89"/>
        <v>31.214469681603582</v>
      </c>
      <c r="AE69" s="47">
        <f t="shared" ref="AE69" si="90">AE65*AE68/1000</f>
        <v>29.990080121922343</v>
      </c>
    </row>
    <row r="70" spans="5:31" ht="15" customHeight="1" x14ac:dyDescent="0.45">
      <c r="E70" s="36"/>
      <c r="F70" s="37"/>
      <c r="G70" s="18"/>
      <c r="H70" s="18"/>
      <c r="I70" s="18"/>
      <c r="J70" s="18"/>
      <c r="K70" s="18"/>
      <c r="L70" s="17"/>
      <c r="M70" s="17"/>
      <c r="N70" s="17"/>
      <c r="O70" s="17"/>
      <c r="P70" s="17"/>
      <c r="Q70" s="17"/>
      <c r="R70" s="17"/>
      <c r="S70" s="17"/>
      <c r="T70" s="17"/>
      <c r="U70" s="20"/>
      <c r="X70" s="75"/>
      <c r="Y70" s="2" t="s">
        <v>181</v>
      </c>
      <c r="Z70" s="47">
        <f t="shared" ref="Z70" si="91">(1000*Z6)/Z69</f>
        <v>-607.68278051394793</v>
      </c>
      <c r="AA70" s="47">
        <f t="shared" ref="AA70:AD70" si="92">(1000*AA6)/AA69</f>
        <v>369.35575249002414</v>
      </c>
      <c r="AB70" s="47">
        <f t="shared" si="92"/>
        <v>366.97292910077272</v>
      </c>
      <c r="AC70" s="47">
        <f t="shared" si="92"/>
        <v>366.38170451642975</v>
      </c>
      <c r="AD70" s="74">
        <f t="shared" si="92"/>
        <v>366.17633157280045</v>
      </c>
      <c r="AE70" s="47">
        <f t="shared" ref="AE70" si="93">(1000*AE6)/AE69</f>
        <v>365.78761895274425</v>
      </c>
    </row>
    <row r="71" spans="5:31" ht="15" customHeight="1" x14ac:dyDescent="0.45">
      <c r="E71" s="36"/>
      <c r="F71" s="37"/>
      <c r="G71" s="18"/>
      <c r="H71" s="18"/>
      <c r="I71" s="18"/>
      <c r="J71" s="18"/>
      <c r="K71" s="18"/>
      <c r="L71" s="17"/>
      <c r="M71" s="17"/>
      <c r="N71" s="17"/>
      <c r="O71" s="17"/>
      <c r="P71" s="17"/>
      <c r="Q71" s="17"/>
      <c r="R71" s="17"/>
      <c r="S71" s="17"/>
      <c r="T71" s="17"/>
      <c r="U71" s="20"/>
      <c r="X71" s="75"/>
      <c r="Y71" s="2" t="s">
        <v>182</v>
      </c>
      <c r="Z71" s="47" t="s">
        <v>204</v>
      </c>
      <c r="AA71" s="47">
        <f>AA69/AA7</f>
        <v>0.69892555394819755</v>
      </c>
      <c r="AB71" s="47">
        <f t="shared" ref="AB71:AD71" si="94">AB69/AB7</f>
        <v>0.70299115533236778</v>
      </c>
      <c r="AC71" s="47">
        <f t="shared" si="94"/>
        <v>0.70439573382103449</v>
      </c>
      <c r="AD71" s="74">
        <f t="shared" si="94"/>
        <v>0.70461556843348949</v>
      </c>
      <c r="AE71" s="47">
        <f t="shared" ref="AE71" si="95">AE69/AE7</f>
        <v>0.7056489440452316</v>
      </c>
    </row>
    <row r="72" spans="5:31" ht="15" customHeight="1" x14ac:dyDescent="0.45">
      <c r="E72" s="36"/>
      <c r="F72" s="37"/>
      <c r="G72" s="18"/>
      <c r="H72" s="18"/>
      <c r="I72" s="18"/>
      <c r="J72" s="18"/>
      <c r="K72" s="18"/>
      <c r="L72" s="17"/>
      <c r="M72" s="17"/>
      <c r="N72" s="17"/>
      <c r="O72" s="17"/>
      <c r="P72" s="17"/>
      <c r="Q72" s="17"/>
      <c r="R72" s="17"/>
      <c r="S72" s="17"/>
      <c r="T72" s="17"/>
      <c r="U72" s="20"/>
      <c r="X72" s="75" t="s">
        <v>163</v>
      </c>
      <c r="Y72" s="67" t="s">
        <v>183</v>
      </c>
      <c r="Z72" s="13">
        <f t="shared" ref="Z72" si="96">(Z4*$F$32*$F$33*$F$28)/$F$19</f>
        <v>0</v>
      </c>
      <c r="AA72" s="13">
        <f t="shared" ref="AA72:AD72" si="97">(AA4*$F$32*$F$33*$F$28)/$F$19</f>
        <v>8273.8127226463112</v>
      </c>
      <c r="AB72" s="13">
        <f t="shared" si="97"/>
        <v>8667.9684478371491</v>
      </c>
      <c r="AC72" s="13">
        <f t="shared" si="97"/>
        <v>8899.6213740458006</v>
      </c>
      <c r="AD72" s="73">
        <f t="shared" si="97"/>
        <v>9006.8040712468191</v>
      </c>
      <c r="AE72" s="13">
        <f t="shared" ref="AE72" si="98">(AE4*$F$32*$F$33*$F$28)/$F$19</f>
        <v>9024.0916030534354</v>
      </c>
    </row>
    <row r="73" spans="5:31" ht="15" customHeight="1" x14ac:dyDescent="0.45">
      <c r="E73" s="36"/>
      <c r="F73" s="37"/>
      <c r="G73" s="18"/>
      <c r="H73" s="18"/>
      <c r="I73" s="18"/>
      <c r="J73" s="18"/>
      <c r="K73" s="18"/>
      <c r="L73" s="17"/>
      <c r="M73" s="17"/>
      <c r="N73" s="17"/>
      <c r="O73" s="17"/>
      <c r="P73" s="17"/>
      <c r="Q73" s="17"/>
      <c r="R73" s="17"/>
      <c r="S73" s="17"/>
      <c r="T73" s="17"/>
      <c r="U73" s="20"/>
      <c r="X73" s="75"/>
      <c r="Y73" s="67" t="s">
        <v>184</v>
      </c>
      <c r="Z73" s="13">
        <f t="shared" ref="Z73" si="99">Z72-$F$36</f>
        <v>-2479.9680000000003</v>
      </c>
      <c r="AA73" s="13">
        <f t="shared" ref="AA73:AD73" si="100">AA72-$F$36</f>
        <v>5793.8447226463104</v>
      </c>
      <c r="AB73" s="13">
        <f t="shared" si="100"/>
        <v>6188.0004478371484</v>
      </c>
      <c r="AC73" s="13">
        <f t="shared" si="100"/>
        <v>6419.6533740457999</v>
      </c>
      <c r="AD73" s="73">
        <f t="shared" si="100"/>
        <v>6526.8360712468184</v>
      </c>
      <c r="AE73" s="13">
        <f t="shared" ref="AE73" si="101">AE72-$F$36</f>
        <v>6544.1236030534346</v>
      </c>
    </row>
    <row r="74" spans="5:31" ht="15" customHeight="1" x14ac:dyDescent="0.45">
      <c r="E74" s="36"/>
      <c r="F74" s="37"/>
      <c r="G74" s="18"/>
      <c r="H74" s="18"/>
      <c r="I74" s="18"/>
      <c r="J74" s="18"/>
      <c r="K74" s="18"/>
      <c r="L74" s="17"/>
      <c r="M74" s="17"/>
      <c r="N74" s="17"/>
      <c r="O74" s="17"/>
      <c r="P74" s="17"/>
      <c r="Q74" s="17"/>
      <c r="R74" s="17"/>
      <c r="S74" s="17"/>
      <c r="T74" s="17"/>
      <c r="U74" s="20"/>
      <c r="X74" s="75"/>
      <c r="Y74" s="67" t="s">
        <v>185</v>
      </c>
      <c r="Z74" s="47">
        <f t="shared" ref="Z74" si="102">(Z5*$F$19)/$F$28</f>
        <v>6.1735822784810122</v>
      </c>
      <c r="AA74" s="47">
        <f t="shared" ref="AA74:AD74" si="103">(AA5*$F$19)/$F$28</f>
        <v>5.7308354430379751</v>
      </c>
      <c r="AB74" s="47">
        <f t="shared" si="103"/>
        <v>5.2234177215189872</v>
      </c>
      <c r="AC74" s="47">
        <f t="shared" si="103"/>
        <v>4.7259493670886075</v>
      </c>
      <c r="AD74" s="74">
        <f t="shared" si="103"/>
        <v>4.2284810126582277</v>
      </c>
      <c r="AE74" s="47">
        <f t="shared" ref="AE74" si="104">(AE5*$F$19)/$F$28</f>
        <v>4.0543670886075942</v>
      </c>
    </row>
    <row r="75" spans="5:31" ht="15" customHeight="1" x14ac:dyDescent="0.45">
      <c r="E75" s="36"/>
      <c r="F75" s="37"/>
      <c r="G75" s="18"/>
      <c r="H75" s="18"/>
      <c r="I75" s="18"/>
      <c r="J75" s="18"/>
      <c r="K75" s="18"/>
      <c r="L75" s="17"/>
      <c r="M75" s="17"/>
      <c r="N75" s="17"/>
      <c r="O75" s="17"/>
      <c r="P75" s="17"/>
      <c r="Q75" s="17"/>
      <c r="R75" s="17"/>
      <c r="S75" s="17"/>
      <c r="T75" s="17"/>
      <c r="U75" s="20"/>
      <c r="X75" s="75"/>
      <c r="Y75" s="2" t="s">
        <v>71</v>
      </c>
      <c r="Z75" s="47">
        <f>(-0.05)*(Z72/($F$35*$F$37))*LN(1-(Z72/($F$35*$F$37)))</f>
        <v>0</v>
      </c>
      <c r="AA75" s="47">
        <f>(-0.05)*(AA72/($F$35*$F$37))*LN(1-(AA72/($F$35*$F$37)))</f>
        <v>6.7710000881551014E-3</v>
      </c>
      <c r="AB75" s="47">
        <f t="shared" ref="AB75:AD75" si="105">(-0.05)*(AB72/($F$35*$F$37))*LN(1-(AB72/($F$35*$F$37)))</f>
        <v>7.5154310184860481E-3</v>
      </c>
      <c r="AC75" s="48">
        <f t="shared" si="105"/>
        <v>7.9758135663131162E-3</v>
      </c>
      <c r="AD75" s="74">
        <f t="shared" si="105"/>
        <v>8.1946958677622129E-3</v>
      </c>
      <c r="AE75" s="47">
        <f t="shared" ref="AE75" si="106">(-0.05)*(AE72/($F$35*$F$37))*LN(1-(AE72/($F$35*$F$37)))</f>
        <v>8.2303514247410205E-3</v>
      </c>
    </row>
    <row r="76" spans="5:31" ht="15" customHeight="1" x14ac:dyDescent="0.45">
      <c r="E76" s="36"/>
      <c r="F76" s="37"/>
      <c r="G76" s="18"/>
      <c r="H76" s="18"/>
      <c r="I76" s="18"/>
      <c r="J76" s="18"/>
      <c r="K76" s="18"/>
      <c r="L76" s="17"/>
      <c r="M76" s="17"/>
      <c r="N76" s="17"/>
      <c r="O76" s="17"/>
      <c r="P76" s="17"/>
      <c r="Q76" s="17"/>
      <c r="R76" s="17"/>
      <c r="S76" s="17"/>
      <c r="T76" s="17"/>
      <c r="U76" s="20"/>
      <c r="X76" s="75"/>
      <c r="Y76" s="2" t="s">
        <v>186</v>
      </c>
      <c r="Z76" s="47">
        <f>Z74*(1-Z75)</f>
        <v>6.1735822784810122</v>
      </c>
      <c r="AA76" s="47">
        <f>AA74*(1-AA75)</f>
        <v>5.6920319557479626</v>
      </c>
      <c r="AB76" s="47">
        <f t="shared" ref="AB76:AD76" si="107">AB74*(1-AB75)</f>
        <v>5.1841614859521732</v>
      </c>
      <c r="AC76" s="47">
        <f t="shared" si="107"/>
        <v>4.6882560760128733</v>
      </c>
      <c r="AD76" s="74">
        <f t="shared" si="107"/>
        <v>4.1938298967768866</v>
      </c>
      <c r="AE76" s="47">
        <f t="shared" ref="AE76" si="108">AE74*(1-AE75)</f>
        <v>4.0209982226634491</v>
      </c>
    </row>
    <row r="77" spans="5:31" ht="15" customHeight="1" x14ac:dyDescent="0.45">
      <c r="E77" s="36"/>
      <c r="F77" s="37"/>
      <c r="G77" s="18"/>
      <c r="H77" s="18"/>
      <c r="I77" s="18"/>
      <c r="J77" s="18"/>
      <c r="K77" s="18"/>
      <c r="L77" s="17"/>
      <c r="M77" s="17"/>
      <c r="N77" s="17"/>
      <c r="O77" s="17"/>
      <c r="P77" s="17"/>
      <c r="Q77" s="17"/>
      <c r="R77" s="17"/>
      <c r="S77" s="17"/>
      <c r="T77" s="17"/>
      <c r="U77" s="20"/>
      <c r="X77" s="75"/>
      <c r="Y77" s="2" t="s">
        <v>187</v>
      </c>
      <c r="Z77" s="47">
        <f>Z73*Z76/1000</f>
        <v>-15.310286496</v>
      </c>
      <c r="AA77" s="47">
        <f>AA73*AA76/1000</f>
        <v>32.97874930794449</v>
      </c>
      <c r="AB77" s="47">
        <f t="shared" ref="AB77:AD77" si="109">AB73*AB76/1000</f>
        <v>32.079593596732145</v>
      </c>
      <c r="AC77" s="47">
        <f t="shared" si="109"/>
        <v>30.096978936766764</v>
      </c>
      <c r="AD77" s="74">
        <f t="shared" si="109"/>
        <v>27.372440246956703</v>
      </c>
      <c r="AE77" s="47">
        <f t="shared" ref="AE77" si="110">AE73*AE76/1000</f>
        <v>26.313909376767789</v>
      </c>
    </row>
    <row r="78" spans="5:31" ht="15" customHeight="1" x14ac:dyDescent="0.45">
      <c r="E78" s="36"/>
      <c r="F78" s="37"/>
      <c r="G78" s="18"/>
      <c r="H78" s="18"/>
      <c r="I78" s="18"/>
      <c r="J78" s="18"/>
      <c r="K78" s="18"/>
      <c r="L78" s="17"/>
      <c r="M78" s="17"/>
      <c r="N78" s="17"/>
      <c r="O78" s="17"/>
      <c r="P78" s="17"/>
      <c r="Q78" s="17"/>
      <c r="R78" s="17"/>
      <c r="S78" s="17"/>
      <c r="T78" s="17"/>
      <c r="U78" s="20"/>
      <c r="X78" s="75"/>
      <c r="Y78" s="2" t="s">
        <v>188</v>
      </c>
      <c r="Z78" s="47">
        <f t="shared" ref="Z78" si="111">(1000*Z6)/Z77</f>
        <v>-326.57782082042104</v>
      </c>
      <c r="AA78" s="47">
        <f t="shared" ref="AA78:AD78" si="112">(1000*AA6)/AA77</f>
        <v>432.09643479618597</v>
      </c>
      <c r="AB78" s="47">
        <f t="shared" si="112"/>
        <v>423.32207105589254</v>
      </c>
      <c r="AC78" s="47">
        <f t="shared" si="112"/>
        <v>419.3111882263799</v>
      </c>
      <c r="AD78" s="74">
        <f t="shared" si="112"/>
        <v>417.57329258471208</v>
      </c>
      <c r="AE78" s="47">
        <f t="shared" ref="AE78" si="113">(1000*AE6)/AE77</f>
        <v>416.8897841415108</v>
      </c>
    </row>
    <row r="79" spans="5:31" ht="15" customHeight="1" x14ac:dyDescent="0.45">
      <c r="E79" s="36"/>
      <c r="F79" s="37"/>
      <c r="G79" s="18"/>
      <c r="H79" s="18"/>
      <c r="I79" s="18"/>
      <c r="J79" s="18"/>
      <c r="K79" s="18"/>
      <c r="L79" s="17"/>
      <c r="M79" s="17"/>
      <c r="N79" s="17"/>
      <c r="O79" s="17"/>
      <c r="P79" s="17"/>
      <c r="Q79" s="17"/>
      <c r="R79" s="17"/>
      <c r="S79" s="17"/>
      <c r="T79" s="17"/>
      <c r="U79" s="20"/>
      <c r="X79" s="75"/>
      <c r="Y79" s="2" t="s">
        <v>189</v>
      </c>
      <c r="Z79" s="47" t="s">
        <v>204</v>
      </c>
      <c r="AA79" s="47">
        <f>AA77/AA7</f>
        <v>0.59744111065116823</v>
      </c>
      <c r="AB79" s="47">
        <f t="shared" ref="AB79:AD79" si="114">AB77/AB7</f>
        <v>0.60941477197439486</v>
      </c>
      <c r="AC79" s="47">
        <f t="shared" si="114"/>
        <v>0.61548014185617106</v>
      </c>
      <c r="AD79" s="74">
        <f t="shared" si="114"/>
        <v>0.61788804169202494</v>
      </c>
      <c r="AE79" s="47">
        <f t="shared" ref="AE79" si="115">AE77/AE7</f>
        <v>0.61915080886512441</v>
      </c>
    </row>
    <row r="80" spans="5:31" ht="15" customHeight="1" x14ac:dyDescent="0.45">
      <c r="E80" s="36"/>
      <c r="F80" s="37"/>
      <c r="G80" s="18"/>
      <c r="H80" s="18"/>
      <c r="I80" s="18"/>
      <c r="J80" s="18"/>
      <c r="K80" s="18"/>
      <c r="L80" s="17"/>
      <c r="M80" s="17"/>
      <c r="N80" s="17"/>
      <c r="O80" s="17"/>
      <c r="P80" s="17"/>
      <c r="Q80" s="17"/>
      <c r="R80" s="17"/>
      <c r="S80" s="17"/>
      <c r="T80" s="17"/>
      <c r="U80" s="20"/>
      <c r="X80" s="76" t="s">
        <v>35</v>
      </c>
      <c r="Y80" s="67" t="s">
        <v>190</v>
      </c>
      <c r="Z80" s="13">
        <f>(Z4*$F$32*$F$33*$F$29)/$F$19</f>
        <v>0</v>
      </c>
      <c r="AA80" s="13">
        <f t="shared" ref="AA80:AD80" si="116">(AA4*$F$32*$F$33*$F$29)/$F$19</f>
        <v>52418.269211195926</v>
      </c>
      <c r="AB80" s="13">
        <f t="shared" si="116"/>
        <v>54915.420356234084</v>
      </c>
      <c r="AC80" s="13">
        <f t="shared" si="116"/>
        <v>56383.044274809152</v>
      </c>
      <c r="AD80" s="73">
        <f t="shared" si="116"/>
        <v>57062.094147582691</v>
      </c>
      <c r="AE80" s="13">
        <f t="shared" ref="AE80" si="117">(AE4*$F$32*$F$33*$F$29)/$F$19</f>
        <v>57171.618320610687</v>
      </c>
    </row>
    <row r="81" spans="5:31" ht="15" customHeight="1" x14ac:dyDescent="0.45">
      <c r="E81" s="36"/>
      <c r="F81" s="37"/>
      <c r="G81" s="18"/>
      <c r="H81" s="18"/>
      <c r="I81" s="18"/>
      <c r="J81" s="18"/>
      <c r="K81" s="18"/>
      <c r="L81" s="17"/>
      <c r="M81" s="17"/>
      <c r="N81" s="17"/>
      <c r="O81" s="17"/>
      <c r="P81" s="17"/>
      <c r="Q81" s="17"/>
      <c r="R81" s="17"/>
      <c r="S81" s="17"/>
      <c r="T81" s="17"/>
      <c r="U81" s="20"/>
      <c r="X81" s="76"/>
      <c r="Y81" s="67" t="s">
        <v>191</v>
      </c>
      <c r="Z81" s="13">
        <f>Z80-$F$36</f>
        <v>-2479.9680000000003</v>
      </c>
      <c r="AA81" s="13">
        <f t="shared" ref="AA81:AD81" si="118">AA80-$F$36</f>
        <v>49938.301211195925</v>
      </c>
      <c r="AB81" s="13">
        <f t="shared" si="118"/>
        <v>52435.452356234084</v>
      </c>
      <c r="AC81" s="13">
        <f t="shared" si="118"/>
        <v>53903.076274809151</v>
      </c>
      <c r="AD81" s="73">
        <f t="shared" si="118"/>
        <v>54582.12614758269</v>
      </c>
      <c r="AE81" s="13">
        <f t="shared" ref="AE81" si="119">AE80-$F$36</f>
        <v>54691.650320610686</v>
      </c>
    </row>
    <row r="82" spans="5:31" ht="15" customHeight="1" x14ac:dyDescent="0.45">
      <c r="E82" s="36"/>
      <c r="F82" s="37"/>
      <c r="G82" s="18"/>
      <c r="H82" s="18"/>
      <c r="I82" s="18"/>
      <c r="J82" s="18"/>
      <c r="K82" s="18"/>
      <c r="L82" s="17"/>
      <c r="M82" s="17"/>
      <c r="N82" s="17"/>
      <c r="O82" s="17"/>
      <c r="P82" s="17"/>
      <c r="Q82" s="17"/>
      <c r="R82" s="17"/>
      <c r="S82" s="17"/>
      <c r="T82" s="17"/>
      <c r="U82" s="20"/>
      <c r="X82" s="76"/>
      <c r="Y82" s="67" t="s">
        <v>192</v>
      </c>
      <c r="Z82" s="47">
        <f>(Z5*$F$19)/$F$29</f>
        <v>0.97445154845154847</v>
      </c>
      <c r="AA82" s="47">
        <f t="shared" ref="AA82:AD82" si="120">(AA5*$F$19)/$F$29</f>
        <v>0.90456743256743266</v>
      </c>
      <c r="AB82" s="47">
        <f t="shared" si="120"/>
        <v>0.82447552447552452</v>
      </c>
      <c r="AC82" s="47">
        <f t="shared" si="120"/>
        <v>0.74595404595404602</v>
      </c>
      <c r="AD82" s="74">
        <f t="shared" si="120"/>
        <v>0.66743256743256751</v>
      </c>
      <c r="AE82" s="47">
        <f t="shared" ref="AE82" si="121">(AE5*$F$19)/$F$29</f>
        <v>0.63995004995005</v>
      </c>
    </row>
    <row r="83" spans="5:31" ht="15" customHeight="1" x14ac:dyDescent="0.45">
      <c r="E83" s="36"/>
      <c r="F83" s="37"/>
      <c r="G83" s="18"/>
      <c r="H83" s="18"/>
      <c r="I83" s="18"/>
      <c r="J83" s="18"/>
      <c r="K83" s="18"/>
      <c r="L83" s="17"/>
      <c r="M83" s="17"/>
      <c r="N83" s="17"/>
      <c r="O83" s="17"/>
      <c r="P83" s="17"/>
      <c r="Q83" s="17"/>
      <c r="R83" s="17"/>
      <c r="S83" s="17"/>
      <c r="T83" s="17"/>
      <c r="X83" s="76"/>
      <c r="Y83" s="2" t="s">
        <v>71</v>
      </c>
      <c r="Z83" s="47" t="s">
        <v>204</v>
      </c>
      <c r="AA83" s="47" t="s">
        <v>204</v>
      </c>
      <c r="AB83" s="47" t="s">
        <v>204</v>
      </c>
      <c r="AC83" s="47" t="s">
        <v>204</v>
      </c>
      <c r="AD83" s="74" t="s">
        <v>204</v>
      </c>
      <c r="AE83" s="47" t="s">
        <v>204</v>
      </c>
    </row>
    <row r="84" spans="5:31" ht="15" customHeight="1" x14ac:dyDescent="0.45">
      <c r="E84" s="36"/>
      <c r="F84" s="37"/>
      <c r="G84" s="18"/>
      <c r="H84" s="18"/>
      <c r="I84" s="18"/>
      <c r="J84" s="18"/>
      <c r="K84" s="18"/>
      <c r="L84" s="17"/>
      <c r="M84" s="17"/>
      <c r="N84" s="17"/>
      <c r="O84" s="17"/>
      <c r="P84" s="17"/>
      <c r="Q84" s="17"/>
      <c r="R84" s="17"/>
      <c r="S84" s="17"/>
      <c r="T84" s="17"/>
      <c r="X84" s="76"/>
      <c r="Y84" s="2" t="s">
        <v>193</v>
      </c>
      <c r="Z84" s="47" t="s">
        <v>204</v>
      </c>
      <c r="AA84" s="47" t="s">
        <v>204</v>
      </c>
      <c r="AB84" s="47" t="s">
        <v>204</v>
      </c>
      <c r="AC84" s="47" t="s">
        <v>204</v>
      </c>
      <c r="AD84" s="74" t="s">
        <v>204</v>
      </c>
      <c r="AE84" s="47" t="s">
        <v>204</v>
      </c>
    </row>
    <row r="85" spans="5:31" ht="15" customHeight="1" x14ac:dyDescent="0.45">
      <c r="E85" s="36"/>
      <c r="F85" s="37"/>
      <c r="G85" s="18"/>
      <c r="H85" s="18"/>
      <c r="I85" s="18"/>
      <c r="J85" s="18"/>
      <c r="K85" s="18"/>
      <c r="L85" s="17"/>
      <c r="M85" s="17"/>
      <c r="N85" s="17"/>
      <c r="O85" s="17"/>
      <c r="P85" s="17"/>
      <c r="Q85" s="17"/>
      <c r="R85" s="17"/>
      <c r="S85" s="17"/>
      <c r="T85" s="17"/>
      <c r="X85" s="76"/>
      <c r="Y85" s="2" t="s">
        <v>194</v>
      </c>
      <c r="Z85" s="47" t="s">
        <v>204</v>
      </c>
      <c r="AA85" s="47" t="s">
        <v>204</v>
      </c>
      <c r="AB85" s="47" t="s">
        <v>204</v>
      </c>
      <c r="AC85" s="47" t="s">
        <v>204</v>
      </c>
      <c r="AD85" s="74" t="s">
        <v>204</v>
      </c>
      <c r="AE85" s="47" t="s">
        <v>204</v>
      </c>
    </row>
    <row r="86" spans="5:31" ht="15" customHeight="1" x14ac:dyDescent="0.45">
      <c r="E86" s="36"/>
      <c r="F86" s="18"/>
      <c r="G86" s="18"/>
      <c r="H86" s="18"/>
      <c r="I86" s="18"/>
      <c r="J86" s="18"/>
      <c r="K86" s="18"/>
      <c r="L86" s="17"/>
      <c r="M86" s="17"/>
      <c r="N86" s="17"/>
      <c r="O86" s="17"/>
      <c r="P86" s="17"/>
      <c r="Q86" s="17"/>
      <c r="R86" s="17"/>
      <c r="S86" s="17"/>
      <c r="T86" s="17"/>
      <c r="X86" s="76"/>
      <c r="Y86" s="2" t="s">
        <v>195</v>
      </c>
      <c r="Z86" s="47" t="s">
        <v>204</v>
      </c>
      <c r="AA86" s="47" t="s">
        <v>204</v>
      </c>
      <c r="AB86" s="47" t="s">
        <v>204</v>
      </c>
      <c r="AC86" s="47" t="s">
        <v>204</v>
      </c>
      <c r="AD86" s="74" t="s">
        <v>204</v>
      </c>
      <c r="AE86" s="47" t="s">
        <v>204</v>
      </c>
    </row>
    <row r="87" spans="5:31" ht="15" customHeight="1" x14ac:dyDescent="0.45">
      <c r="E87" s="36"/>
      <c r="F87" s="18"/>
      <c r="G87" s="18"/>
      <c r="H87" s="18"/>
      <c r="I87" s="18"/>
      <c r="J87" s="18"/>
      <c r="K87" s="18"/>
      <c r="L87" s="17"/>
      <c r="M87" s="17"/>
      <c r="N87" s="17"/>
      <c r="O87" s="17"/>
      <c r="P87" s="17"/>
      <c r="Q87" s="17"/>
      <c r="R87" s="17"/>
      <c r="S87" s="17"/>
      <c r="T87" s="17"/>
      <c r="X87" s="76"/>
      <c r="Y87" s="2" t="s">
        <v>196</v>
      </c>
      <c r="Z87" s="47" t="s">
        <v>204</v>
      </c>
      <c r="AA87" s="47" t="s">
        <v>204</v>
      </c>
      <c r="AB87" s="47" t="s">
        <v>204</v>
      </c>
      <c r="AC87" s="47" t="s">
        <v>204</v>
      </c>
      <c r="AD87" s="74" t="s">
        <v>204</v>
      </c>
      <c r="AE87" s="47" t="s">
        <v>204</v>
      </c>
    </row>
    <row r="88" spans="5:31" ht="15" customHeight="1" x14ac:dyDescent="0.45">
      <c r="E88" s="36"/>
      <c r="F88" s="18"/>
      <c r="G88" s="18"/>
      <c r="H88" s="18"/>
      <c r="I88" s="18"/>
      <c r="J88" s="18"/>
      <c r="K88" s="18"/>
      <c r="L88" s="17"/>
      <c r="M88" s="17"/>
      <c r="N88" s="17"/>
      <c r="O88" s="17"/>
      <c r="P88" s="17"/>
      <c r="Q88" s="17"/>
      <c r="R88" s="17"/>
      <c r="S88" s="17"/>
      <c r="T88" s="17"/>
      <c r="X88" s="76" t="s">
        <v>164</v>
      </c>
      <c r="Y88" s="67" t="s">
        <v>197</v>
      </c>
      <c r="Z88" s="13">
        <f>(Z4*$F$32*$F$33*$F$30)/$F$19</f>
        <v>0</v>
      </c>
      <c r="AA88" s="13">
        <f t="shared" ref="AA88:AD88" si="122">(AA4*$F$32*$F$33*$F$30)/$F$19</f>
        <v>30791.151145038166</v>
      </c>
      <c r="AB88" s="13">
        <f t="shared" si="122"/>
        <v>32258.009160305337</v>
      </c>
      <c r="AC88" s="13">
        <f t="shared" si="122"/>
        <v>33120.109923664117</v>
      </c>
      <c r="AD88" s="73">
        <f t="shared" si="122"/>
        <v>33518.992366412211</v>
      </c>
      <c r="AE88" s="13">
        <f t="shared" ref="AE88" si="123">(AE4*$F$32*$F$33*$F$30)/$F$19</f>
        <v>33583.32824427481</v>
      </c>
    </row>
    <row r="89" spans="5:31" ht="15" customHeight="1" x14ac:dyDescent="0.45">
      <c r="E89" s="36"/>
      <c r="F89" s="37"/>
      <c r="G89" s="18"/>
      <c r="H89" s="18"/>
      <c r="I89" s="18"/>
      <c r="J89" s="18"/>
      <c r="K89" s="18"/>
      <c r="L89" s="17"/>
      <c r="M89" s="17"/>
      <c r="N89" s="17"/>
      <c r="O89" s="17"/>
      <c r="P89" s="17"/>
      <c r="Q89" s="17"/>
      <c r="R89" s="17"/>
      <c r="S89" s="17"/>
      <c r="T89" s="17"/>
      <c r="X89" s="76"/>
      <c r="Y89" s="67" t="s">
        <v>198</v>
      </c>
      <c r="Z89" s="13">
        <f>Z88-$F$36</f>
        <v>-2479.9680000000003</v>
      </c>
      <c r="AA89" s="13">
        <f t="shared" ref="AA89:AD89" si="124">AA88-$F$36</f>
        <v>28311.183145038165</v>
      </c>
      <c r="AB89" s="13">
        <f t="shared" si="124"/>
        <v>29778.041160305336</v>
      </c>
      <c r="AC89" s="13">
        <f t="shared" si="124"/>
        <v>30640.141923664116</v>
      </c>
      <c r="AD89" s="73">
        <f t="shared" si="124"/>
        <v>31039.02436641221</v>
      </c>
      <c r="AE89" s="13">
        <f t="shared" ref="AE89" si="125">AE88-$F$36</f>
        <v>31103.360244274809</v>
      </c>
    </row>
    <row r="90" spans="5:31" ht="15" customHeight="1" x14ac:dyDescent="0.45">
      <c r="E90" s="36"/>
      <c r="F90" s="37"/>
      <c r="G90" s="18"/>
      <c r="H90" s="18"/>
      <c r="I90" s="18"/>
      <c r="J90" s="18"/>
      <c r="K90" s="18"/>
      <c r="L90" s="17"/>
      <c r="M90" s="17"/>
      <c r="N90" s="17"/>
      <c r="O90" s="17"/>
      <c r="P90" s="17"/>
      <c r="Q90" s="17"/>
      <c r="R90" s="17"/>
      <c r="S90" s="17"/>
      <c r="T90" s="17"/>
      <c r="X90" s="76"/>
      <c r="Y90" s="67" t="s">
        <v>199</v>
      </c>
      <c r="Z90" s="47">
        <f>(Z5*$F$19)/$F$30</f>
        <v>1.6588877551020407</v>
      </c>
      <c r="AA90" s="47">
        <f t="shared" ref="AA90:AD90" si="126">(AA5*$F$19)/$F$30</f>
        <v>1.539918367346939</v>
      </c>
      <c r="AB90" s="47">
        <f t="shared" si="126"/>
        <v>1.4035714285714287</v>
      </c>
      <c r="AC90" s="47">
        <f t="shared" si="126"/>
        <v>1.2698979591836737</v>
      </c>
      <c r="AD90" s="74">
        <f t="shared" si="126"/>
        <v>1.1362244897959184</v>
      </c>
      <c r="AE90" s="47">
        <f t="shared" ref="AE90" si="127">(AE5*$F$19)/$F$30</f>
        <v>1.0894387755102042</v>
      </c>
    </row>
    <row r="91" spans="5:31" ht="15" customHeight="1" x14ac:dyDescent="0.45">
      <c r="E91" s="36"/>
      <c r="F91" s="37"/>
      <c r="G91" s="18"/>
      <c r="H91" s="18"/>
      <c r="I91" s="18"/>
      <c r="J91" s="18"/>
      <c r="K91" s="18"/>
      <c r="L91" s="17"/>
      <c r="M91" s="17"/>
      <c r="N91" s="17"/>
      <c r="O91" s="17"/>
      <c r="P91" s="17"/>
      <c r="Q91" s="17"/>
      <c r="R91" s="17"/>
      <c r="S91" s="17"/>
      <c r="T91" s="17"/>
      <c r="X91" s="76"/>
      <c r="Y91" s="2" t="s">
        <v>71</v>
      </c>
      <c r="Z91" s="47" t="s">
        <v>204</v>
      </c>
      <c r="AA91" s="47" t="s">
        <v>204</v>
      </c>
      <c r="AB91" s="47" t="s">
        <v>204</v>
      </c>
      <c r="AC91" s="47" t="s">
        <v>204</v>
      </c>
      <c r="AD91" s="74" t="s">
        <v>204</v>
      </c>
      <c r="AE91" s="47" t="s">
        <v>204</v>
      </c>
    </row>
    <row r="92" spans="5:31" ht="15" customHeight="1" x14ac:dyDescent="0.45">
      <c r="E92" s="36"/>
      <c r="F92" s="37"/>
      <c r="G92" s="18"/>
      <c r="H92" s="18"/>
      <c r="I92" s="18"/>
      <c r="J92" s="18"/>
      <c r="K92" s="18"/>
      <c r="L92" s="17"/>
      <c r="M92" s="17"/>
      <c r="N92" s="17"/>
      <c r="O92" s="17"/>
      <c r="P92" s="17"/>
      <c r="Q92" s="17"/>
      <c r="R92" s="17"/>
      <c r="S92" s="17"/>
      <c r="T92" s="17"/>
      <c r="X92" s="76"/>
      <c r="Y92" s="2" t="s">
        <v>200</v>
      </c>
      <c r="Z92" s="47" t="s">
        <v>204</v>
      </c>
      <c r="AA92" s="47" t="s">
        <v>204</v>
      </c>
      <c r="AB92" s="47" t="s">
        <v>204</v>
      </c>
      <c r="AC92" s="47" t="s">
        <v>204</v>
      </c>
      <c r="AD92" s="74" t="s">
        <v>204</v>
      </c>
      <c r="AE92" s="47" t="s">
        <v>204</v>
      </c>
    </row>
    <row r="93" spans="5:31" ht="15" customHeight="1" x14ac:dyDescent="0.45">
      <c r="E93" s="36"/>
      <c r="F93" s="37"/>
      <c r="G93" s="18"/>
      <c r="H93" s="18"/>
      <c r="I93" s="18"/>
      <c r="J93" s="18"/>
      <c r="K93" s="18"/>
      <c r="L93" s="17"/>
      <c r="M93" s="17"/>
      <c r="N93" s="17"/>
      <c r="O93" s="17"/>
      <c r="P93" s="17"/>
      <c r="Q93" s="17"/>
      <c r="R93" s="17"/>
      <c r="S93" s="17"/>
      <c r="T93" s="17"/>
      <c r="X93" s="76"/>
      <c r="Y93" s="2" t="s">
        <v>201</v>
      </c>
      <c r="Z93" s="47" t="s">
        <v>204</v>
      </c>
      <c r="AA93" s="47" t="s">
        <v>204</v>
      </c>
      <c r="AB93" s="47" t="s">
        <v>204</v>
      </c>
      <c r="AC93" s="47" t="s">
        <v>204</v>
      </c>
      <c r="AD93" s="74" t="s">
        <v>204</v>
      </c>
      <c r="AE93" s="47" t="s">
        <v>204</v>
      </c>
    </row>
    <row r="94" spans="5:31" ht="15" customHeight="1" x14ac:dyDescent="0.45">
      <c r="E94" s="36"/>
      <c r="F94" s="18"/>
      <c r="G94" s="18"/>
      <c r="H94" s="18"/>
      <c r="I94" s="18"/>
      <c r="J94" s="18"/>
      <c r="K94" s="18"/>
      <c r="L94" s="17"/>
      <c r="M94" s="17"/>
      <c r="N94" s="17"/>
      <c r="O94" s="17"/>
      <c r="P94" s="17"/>
      <c r="Q94" s="17"/>
      <c r="R94" s="17"/>
      <c r="S94" s="17"/>
      <c r="T94" s="17"/>
      <c r="X94" s="76"/>
      <c r="Y94" s="2" t="s">
        <v>202</v>
      </c>
      <c r="Z94" s="47" t="s">
        <v>204</v>
      </c>
      <c r="AA94" s="47" t="s">
        <v>204</v>
      </c>
      <c r="AB94" s="47" t="s">
        <v>204</v>
      </c>
      <c r="AC94" s="47" t="s">
        <v>204</v>
      </c>
      <c r="AD94" s="74" t="s">
        <v>204</v>
      </c>
      <c r="AE94" s="47" t="s">
        <v>204</v>
      </c>
    </row>
    <row r="95" spans="5:31" ht="15" customHeight="1" x14ac:dyDescent="0.45">
      <c r="E95" s="36"/>
      <c r="F95" s="18"/>
      <c r="G95" s="18"/>
      <c r="H95" s="18"/>
      <c r="I95" s="18"/>
      <c r="J95" s="18"/>
      <c r="K95" s="18"/>
      <c r="L95" s="17"/>
      <c r="M95" s="17"/>
      <c r="N95" s="17"/>
      <c r="O95" s="17"/>
      <c r="P95" s="17"/>
      <c r="Q95" s="17"/>
      <c r="R95" s="17"/>
      <c r="S95" s="17"/>
      <c r="T95" s="17"/>
      <c r="X95" s="76"/>
      <c r="Y95" s="2" t="s">
        <v>203</v>
      </c>
      <c r="Z95" s="47" t="s">
        <v>204</v>
      </c>
      <c r="AA95" s="47" t="s">
        <v>204</v>
      </c>
      <c r="AB95" s="47" t="s">
        <v>204</v>
      </c>
      <c r="AC95" s="47" t="s">
        <v>204</v>
      </c>
      <c r="AD95" s="74" t="s">
        <v>204</v>
      </c>
      <c r="AE95" s="47" t="s">
        <v>204</v>
      </c>
    </row>
    <row r="96" spans="5:31" ht="15" customHeight="1" x14ac:dyDescent="0.45">
      <c r="E96" s="36"/>
      <c r="F96" s="18"/>
      <c r="G96" s="18"/>
      <c r="H96" s="18"/>
      <c r="I96" s="18"/>
      <c r="J96" s="18"/>
      <c r="K96" s="18"/>
      <c r="L96" s="17"/>
      <c r="M96" s="17"/>
      <c r="N96" s="17"/>
      <c r="O96" s="17"/>
      <c r="P96" s="17"/>
      <c r="Q96" s="17"/>
      <c r="R96" s="17"/>
      <c r="S96" s="17"/>
      <c r="T96" s="17"/>
    </row>
    <row r="97" spans="5:20" ht="15" customHeight="1" x14ac:dyDescent="0.45">
      <c r="E97" s="36"/>
      <c r="F97" s="37"/>
      <c r="G97" s="18"/>
      <c r="H97" s="18"/>
      <c r="I97" s="18"/>
      <c r="J97" s="18"/>
      <c r="K97" s="18"/>
      <c r="L97" s="17"/>
      <c r="M97" s="17"/>
      <c r="N97" s="17"/>
      <c r="O97" s="17"/>
      <c r="P97" s="17"/>
      <c r="Q97" s="17"/>
      <c r="R97" s="17"/>
      <c r="S97" s="17"/>
      <c r="T97" s="17"/>
    </row>
    <row r="98" spans="5:20" ht="15" customHeight="1" x14ac:dyDescent="0.45">
      <c r="E98" s="36"/>
      <c r="F98" s="37"/>
      <c r="G98" s="18"/>
      <c r="H98" s="18"/>
      <c r="I98" s="18"/>
      <c r="J98" s="18"/>
      <c r="K98" s="18"/>
      <c r="L98" s="17"/>
      <c r="M98" s="17"/>
      <c r="N98" s="17"/>
      <c r="O98" s="17"/>
      <c r="P98" s="17"/>
      <c r="Q98" s="17"/>
      <c r="R98" s="17"/>
      <c r="S98" s="17"/>
      <c r="T98" s="17"/>
    </row>
    <row r="99" spans="5:20" ht="15" customHeight="1" x14ac:dyDescent="0.45">
      <c r="E99" s="36"/>
      <c r="F99" s="37"/>
      <c r="G99" s="18"/>
      <c r="H99" s="18"/>
      <c r="I99" s="18"/>
      <c r="J99" s="18"/>
      <c r="K99" s="18"/>
      <c r="L99" s="17"/>
      <c r="M99" s="17"/>
      <c r="N99" s="17"/>
      <c r="O99" s="17"/>
      <c r="P99" s="17"/>
      <c r="Q99" s="17"/>
      <c r="R99" s="17"/>
      <c r="S99" s="17"/>
      <c r="T99" s="17"/>
    </row>
    <row r="100" spans="5:20" ht="15" customHeight="1" x14ac:dyDescent="0.45">
      <c r="E100" s="36"/>
      <c r="F100" s="37"/>
      <c r="G100" s="18"/>
      <c r="H100" s="18"/>
      <c r="I100" s="18"/>
      <c r="J100" s="18"/>
      <c r="K100" s="18"/>
      <c r="L100" s="17"/>
      <c r="M100" s="17"/>
      <c r="N100" s="17"/>
      <c r="O100" s="17"/>
      <c r="P100" s="17"/>
      <c r="Q100" s="17"/>
      <c r="R100" s="17"/>
      <c r="S100" s="17"/>
      <c r="T100" s="17"/>
    </row>
    <row r="101" spans="5:20" ht="15" customHeight="1" x14ac:dyDescent="0.45">
      <c r="E101" s="36"/>
      <c r="F101" s="37"/>
      <c r="G101" s="18"/>
      <c r="H101" s="18"/>
      <c r="I101" s="18"/>
      <c r="J101" s="18"/>
      <c r="K101" s="18"/>
      <c r="L101" s="17"/>
      <c r="M101" s="17"/>
      <c r="N101" s="17"/>
      <c r="O101" s="17"/>
      <c r="P101" s="17"/>
      <c r="Q101" s="17"/>
      <c r="R101" s="17"/>
      <c r="S101" s="17"/>
      <c r="T101" s="17"/>
    </row>
    <row r="102" spans="5:20" ht="15" customHeight="1" x14ac:dyDescent="0.45">
      <c r="E102" s="36"/>
      <c r="F102" s="18"/>
      <c r="G102" s="18"/>
      <c r="H102" s="18"/>
      <c r="I102" s="18"/>
      <c r="J102" s="18"/>
      <c r="K102" s="18"/>
      <c r="L102" s="17"/>
      <c r="M102" s="17"/>
      <c r="N102" s="17"/>
      <c r="O102" s="17"/>
      <c r="P102" s="17"/>
      <c r="Q102" s="17"/>
      <c r="R102" s="17"/>
      <c r="S102" s="17"/>
      <c r="T102" s="17"/>
    </row>
    <row r="103" spans="5:20" ht="15" customHeight="1" x14ac:dyDescent="0.45">
      <c r="E103" s="36"/>
      <c r="F103" s="18"/>
      <c r="G103" s="18"/>
      <c r="H103" s="18"/>
      <c r="I103" s="18"/>
      <c r="J103" s="18"/>
      <c r="K103" s="18"/>
      <c r="L103" s="17"/>
      <c r="M103" s="17"/>
      <c r="N103" s="17"/>
      <c r="O103" s="17"/>
      <c r="P103" s="17"/>
      <c r="Q103" s="17"/>
      <c r="R103" s="17"/>
      <c r="S103" s="17"/>
      <c r="T103" s="17"/>
    </row>
    <row r="104" spans="5:20" ht="15" customHeight="1" x14ac:dyDescent="0.45">
      <c r="E104" s="36"/>
      <c r="F104" s="18"/>
      <c r="G104" s="18"/>
      <c r="H104" s="18"/>
      <c r="I104" s="18"/>
      <c r="J104" s="18"/>
      <c r="K104" s="18"/>
      <c r="L104" s="17"/>
      <c r="M104" s="17"/>
      <c r="N104" s="17"/>
      <c r="O104" s="17"/>
      <c r="P104" s="17"/>
      <c r="Q104" s="17"/>
      <c r="R104" s="17"/>
      <c r="S104" s="17"/>
      <c r="T104" s="17"/>
    </row>
    <row r="105" spans="5:20" ht="15" customHeight="1" x14ac:dyDescent="0.45">
      <c r="E105" s="36"/>
      <c r="F105" s="37"/>
      <c r="G105" s="18"/>
      <c r="H105" s="18"/>
      <c r="I105" s="18"/>
      <c r="J105" s="18"/>
      <c r="K105" s="18"/>
      <c r="L105" s="17"/>
      <c r="M105" s="17"/>
      <c r="N105" s="17"/>
      <c r="O105" s="17"/>
      <c r="P105" s="17"/>
      <c r="Q105" s="17"/>
      <c r="R105" s="17"/>
      <c r="S105" s="17"/>
      <c r="T105" s="17"/>
    </row>
    <row r="106" spans="5:20" ht="15" customHeight="1" x14ac:dyDescent="0.45">
      <c r="E106" s="36"/>
      <c r="F106" s="37"/>
      <c r="G106" s="18"/>
      <c r="H106" s="18"/>
      <c r="I106" s="18"/>
      <c r="J106" s="18"/>
      <c r="K106" s="18"/>
      <c r="L106" s="17"/>
      <c r="M106" s="17"/>
      <c r="N106" s="17"/>
      <c r="O106" s="17"/>
      <c r="P106" s="17"/>
      <c r="Q106" s="17"/>
      <c r="R106" s="17"/>
      <c r="S106" s="17"/>
      <c r="T106" s="17"/>
    </row>
    <row r="107" spans="5:20" ht="15" customHeight="1" x14ac:dyDescent="0.45">
      <c r="E107" s="36"/>
      <c r="F107" s="37"/>
      <c r="G107" s="18"/>
      <c r="H107" s="18"/>
      <c r="I107" s="18"/>
      <c r="J107" s="18"/>
      <c r="K107" s="18"/>
      <c r="L107" s="17"/>
      <c r="M107" s="17"/>
      <c r="N107" s="17"/>
      <c r="O107" s="17"/>
      <c r="P107" s="17"/>
      <c r="Q107" s="17"/>
      <c r="R107" s="17"/>
      <c r="S107" s="17"/>
      <c r="T107" s="17"/>
    </row>
    <row r="108" spans="5:20" ht="15" customHeight="1" x14ac:dyDescent="0.45">
      <c r="E108" s="36"/>
      <c r="F108" s="37"/>
      <c r="G108" s="18"/>
      <c r="H108" s="18"/>
      <c r="I108" s="18"/>
      <c r="J108" s="18"/>
      <c r="K108" s="18"/>
      <c r="L108" s="17"/>
      <c r="M108" s="17"/>
      <c r="N108" s="17"/>
      <c r="O108" s="17"/>
      <c r="P108" s="17"/>
      <c r="Q108" s="17"/>
      <c r="R108" s="17"/>
      <c r="S108" s="17"/>
      <c r="T108" s="17"/>
    </row>
    <row r="109" spans="5:20" ht="15" customHeight="1" x14ac:dyDescent="0.45">
      <c r="E109" s="36"/>
      <c r="F109" s="37"/>
      <c r="G109" s="18"/>
      <c r="H109" s="18"/>
      <c r="I109" s="18"/>
      <c r="J109" s="18"/>
      <c r="K109" s="18"/>
      <c r="L109" s="17"/>
      <c r="M109" s="17"/>
      <c r="N109" s="17"/>
      <c r="O109" s="17"/>
      <c r="P109" s="17"/>
      <c r="Q109" s="17"/>
      <c r="R109" s="17"/>
      <c r="S109" s="17"/>
      <c r="T109" s="17"/>
    </row>
    <row r="110" spans="5:20" ht="15" customHeight="1" x14ac:dyDescent="0.45">
      <c r="E110" s="36"/>
      <c r="F110" s="18"/>
      <c r="G110" s="18"/>
      <c r="H110" s="18"/>
      <c r="I110" s="18"/>
      <c r="J110" s="18"/>
      <c r="K110" s="18"/>
      <c r="L110" s="17"/>
      <c r="M110" s="17"/>
      <c r="N110" s="17"/>
      <c r="O110" s="17"/>
      <c r="P110" s="17"/>
      <c r="Q110" s="17"/>
      <c r="R110" s="17"/>
      <c r="S110" s="17"/>
      <c r="T110" s="17"/>
    </row>
    <row r="111" spans="5:20" ht="15" customHeight="1" x14ac:dyDescent="0.45">
      <c r="E111" s="36"/>
      <c r="F111" s="18"/>
      <c r="G111" s="18"/>
      <c r="H111" s="18"/>
      <c r="I111" s="18"/>
      <c r="J111" s="18"/>
      <c r="K111" s="18"/>
      <c r="L111" s="17"/>
      <c r="M111" s="17"/>
      <c r="N111" s="17"/>
      <c r="O111" s="17"/>
      <c r="P111" s="17"/>
      <c r="Q111" s="17"/>
      <c r="R111" s="17"/>
      <c r="S111" s="17"/>
      <c r="T111" s="17"/>
    </row>
    <row r="112" spans="5:20" ht="15" customHeight="1" x14ac:dyDescent="0.45">
      <c r="E112" s="36"/>
      <c r="F112" s="18"/>
      <c r="G112" s="18"/>
      <c r="H112" s="18"/>
      <c r="I112" s="18"/>
      <c r="J112" s="18"/>
      <c r="K112" s="18"/>
      <c r="L112" s="17"/>
      <c r="M112" s="17"/>
      <c r="N112" s="17"/>
      <c r="O112" s="17"/>
      <c r="P112" s="17"/>
      <c r="Q112" s="17"/>
      <c r="R112" s="17"/>
      <c r="S112" s="17"/>
      <c r="T112" s="17"/>
    </row>
    <row r="113" spans="5:20" ht="15" customHeight="1" x14ac:dyDescent="0.45">
      <c r="E113" s="36"/>
      <c r="F113" s="37"/>
      <c r="G113" s="18"/>
      <c r="H113" s="18"/>
      <c r="I113" s="18"/>
      <c r="J113" s="18"/>
      <c r="K113" s="18"/>
      <c r="L113" s="17"/>
      <c r="M113" s="17"/>
      <c r="N113" s="17"/>
      <c r="O113" s="17"/>
      <c r="P113" s="17"/>
      <c r="Q113" s="17"/>
      <c r="R113" s="17"/>
      <c r="S113" s="17"/>
      <c r="T113" s="17"/>
    </row>
    <row r="114" spans="5:20" ht="15" customHeight="1" x14ac:dyDescent="0.45">
      <c r="E114" s="36"/>
      <c r="F114" s="37"/>
      <c r="G114" s="18"/>
      <c r="H114" s="18"/>
      <c r="I114" s="18"/>
      <c r="J114" s="18"/>
      <c r="K114" s="18"/>
      <c r="L114" s="17"/>
      <c r="M114" s="17"/>
      <c r="N114" s="17"/>
      <c r="O114" s="17"/>
      <c r="P114" s="17"/>
      <c r="Q114" s="17"/>
      <c r="R114" s="17"/>
      <c r="S114" s="17"/>
      <c r="T114" s="17"/>
    </row>
    <row r="115" spans="5:20" ht="15" customHeight="1" x14ac:dyDescent="0.45">
      <c r="E115" s="36"/>
      <c r="F115" s="37"/>
      <c r="G115" s="18"/>
      <c r="H115" s="18"/>
      <c r="I115" s="18"/>
      <c r="J115" s="18"/>
      <c r="K115" s="18"/>
      <c r="L115" s="17"/>
      <c r="M115" s="17"/>
      <c r="N115" s="17"/>
      <c r="O115" s="17"/>
      <c r="P115" s="17"/>
      <c r="Q115" s="17"/>
      <c r="R115" s="17"/>
      <c r="S115" s="17"/>
      <c r="T115" s="17"/>
    </row>
    <row r="116" spans="5:20" ht="15" customHeight="1" x14ac:dyDescent="0.45">
      <c r="E116" s="36"/>
      <c r="F116" s="37"/>
      <c r="G116" s="18"/>
      <c r="H116" s="18"/>
      <c r="I116" s="18"/>
      <c r="J116" s="18"/>
      <c r="K116" s="18"/>
      <c r="L116" s="17"/>
      <c r="M116" s="17"/>
      <c r="N116" s="17"/>
      <c r="O116" s="17"/>
      <c r="P116" s="17"/>
      <c r="Q116" s="17"/>
      <c r="R116" s="17"/>
      <c r="S116" s="17"/>
      <c r="T116" s="17"/>
    </row>
    <row r="117" spans="5:20" ht="15" customHeight="1" x14ac:dyDescent="0.45">
      <c r="E117" s="36"/>
      <c r="F117" s="37"/>
      <c r="G117" s="18"/>
      <c r="H117" s="18"/>
      <c r="I117" s="18"/>
      <c r="J117" s="18"/>
      <c r="K117" s="18"/>
      <c r="L117" s="17"/>
      <c r="M117" s="17"/>
      <c r="N117" s="17"/>
      <c r="O117" s="17"/>
      <c r="P117" s="17"/>
      <c r="Q117" s="17"/>
      <c r="R117" s="17"/>
      <c r="S117" s="17"/>
      <c r="T117" s="17"/>
    </row>
  </sheetData>
  <mergeCells count="34">
    <mergeCell ref="E38:H38"/>
    <mergeCell ref="V1:AF1"/>
    <mergeCell ref="E16:T16"/>
    <mergeCell ref="H24:I24"/>
    <mergeCell ref="H25:I25"/>
    <mergeCell ref="H23:I23"/>
    <mergeCell ref="E14:F14"/>
    <mergeCell ref="H18:T18"/>
    <mergeCell ref="H19:I20"/>
    <mergeCell ref="H21:I21"/>
    <mergeCell ref="H22:I22"/>
    <mergeCell ref="J19:T19"/>
    <mergeCell ref="P28:T28"/>
    <mergeCell ref="I30:T30"/>
    <mergeCell ref="B1:C1"/>
    <mergeCell ref="E4:E8"/>
    <mergeCell ref="E11:F11"/>
    <mergeCell ref="E12:F12"/>
    <mergeCell ref="E13:F13"/>
    <mergeCell ref="E1:T1"/>
    <mergeCell ref="E10:I10"/>
    <mergeCell ref="X64:X71"/>
    <mergeCell ref="X72:X79"/>
    <mergeCell ref="X88:X95"/>
    <mergeCell ref="X3:AD3"/>
    <mergeCell ref="X4:X7"/>
    <mergeCell ref="X8:X15"/>
    <mergeCell ref="X16:X23"/>
    <mergeCell ref="X40:X47"/>
    <mergeCell ref="X48:X55"/>
    <mergeCell ref="X56:X63"/>
    <mergeCell ref="X80:X87"/>
    <mergeCell ref="X32:X39"/>
    <mergeCell ref="X24:X3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9"/>
  <sheetViews>
    <sheetView tabSelected="1" zoomScale="60" zoomScaleNormal="60" workbookViewId="0">
      <selection activeCell="C3" sqref="C3"/>
    </sheetView>
  </sheetViews>
  <sheetFormatPr defaultRowHeight="14.25" x14ac:dyDescent="0.45"/>
  <cols>
    <col min="1" max="1" width="2.73046875" customWidth="1"/>
    <col min="2" max="2" width="15.59765625" customWidth="1"/>
    <col min="3" max="3" width="9.1328125" customWidth="1"/>
    <col min="4" max="4" width="9.59765625" customWidth="1"/>
    <col min="5" max="5" width="10.59765625" customWidth="1"/>
    <col min="6" max="6" width="9.265625" customWidth="1"/>
    <col min="7" max="7" width="10" customWidth="1"/>
    <col min="8" max="8" width="8.86328125" customWidth="1"/>
    <col min="9" max="9" width="9.265625" customWidth="1"/>
    <col min="10" max="10" width="11.1328125" customWidth="1"/>
    <col min="11" max="11" width="4" customWidth="1"/>
    <col min="12" max="12" width="11.73046875" customWidth="1"/>
    <col min="13" max="14" width="6.265625" customWidth="1"/>
    <col min="15" max="15" width="3.86328125" customWidth="1"/>
    <col min="17" max="17" width="6.265625" customWidth="1"/>
    <col min="19" max="19" width="3.265625" customWidth="1"/>
  </cols>
  <sheetData>
    <row r="2" spans="2:18" ht="28.5" x14ac:dyDescent="0.45">
      <c r="B2" s="53" t="s">
        <v>120</v>
      </c>
      <c r="C2" s="53" t="s">
        <v>24</v>
      </c>
      <c r="D2" s="53" t="s">
        <v>38</v>
      </c>
      <c r="E2" s="53" t="s">
        <v>156</v>
      </c>
      <c r="F2" s="53" t="s">
        <v>121</v>
      </c>
      <c r="G2" s="53" t="s">
        <v>122</v>
      </c>
      <c r="H2" s="53" t="s">
        <v>123</v>
      </c>
      <c r="I2" s="53" t="s">
        <v>25</v>
      </c>
      <c r="J2" s="53" t="s">
        <v>124</v>
      </c>
    </row>
    <row r="3" spans="2:18" ht="20.100000000000001" customHeight="1" x14ac:dyDescent="0.45">
      <c r="B3" s="53" t="s">
        <v>33</v>
      </c>
      <c r="C3" s="45">
        <v>212</v>
      </c>
      <c r="D3" s="45">
        <v>1.8</v>
      </c>
      <c r="E3" s="57">
        <f t="shared" ref="E3:E4" si="0">$M$21*D3</f>
        <v>20.16</v>
      </c>
      <c r="F3" s="57" t="e">
        <f>(#REF!*1000)/E3</f>
        <v>#REF!</v>
      </c>
      <c r="G3" s="8" t="e">
        <f>E3/#REF!</f>
        <v>#REF!</v>
      </c>
      <c r="H3" s="59">
        <f t="shared" ref="H3:H4" si="1">0.36*1.4*D3</f>
        <v>0.90720000000000001</v>
      </c>
      <c r="I3" s="57">
        <v>9.5</v>
      </c>
      <c r="J3" s="57">
        <f t="shared" ref="J3:J4" si="2">I3/H3</f>
        <v>10.471781305114638</v>
      </c>
    </row>
    <row r="4" spans="2:18" ht="60" customHeight="1" x14ac:dyDescent="0.45">
      <c r="B4" s="43" t="s">
        <v>169</v>
      </c>
      <c r="C4" s="45">
        <v>236</v>
      </c>
      <c r="D4" s="45">
        <v>1.87</v>
      </c>
      <c r="E4" s="57">
        <f t="shared" si="0"/>
        <v>20.943999999999999</v>
      </c>
      <c r="F4" s="57" t="e">
        <f>(#REF!*1000)/E4</f>
        <v>#REF!</v>
      </c>
      <c r="G4" s="58" t="e">
        <f>E4/#REF!</f>
        <v>#REF!</v>
      </c>
      <c r="H4" s="59">
        <f t="shared" si="1"/>
        <v>0.9424800000000001</v>
      </c>
      <c r="I4" s="57">
        <v>12.3</v>
      </c>
      <c r="J4" s="57">
        <f t="shared" si="2"/>
        <v>13.050674815380697</v>
      </c>
    </row>
    <row r="5" spans="2:18" ht="24.95" customHeight="1" x14ac:dyDescent="0.45"/>
    <row r="6" spans="2:18" ht="60" customHeight="1" x14ac:dyDescent="0.45"/>
    <row r="7" spans="2:18" x14ac:dyDescent="0.45">
      <c r="P7" s="85" t="s">
        <v>155</v>
      </c>
      <c r="Q7" s="85"/>
      <c r="R7" s="85"/>
    </row>
    <row r="8" spans="2:18" x14ac:dyDescent="0.45">
      <c r="L8" s="54" t="s">
        <v>141</v>
      </c>
      <c r="M8" s="45">
        <v>0.08</v>
      </c>
      <c r="N8" s="55"/>
      <c r="P8" s="56" t="s">
        <v>173</v>
      </c>
      <c r="Q8" s="45">
        <v>236</v>
      </c>
      <c r="R8" s="55" t="s">
        <v>152</v>
      </c>
    </row>
    <row r="9" spans="2:18" x14ac:dyDescent="0.45">
      <c r="L9" s="56" t="s">
        <v>65</v>
      </c>
      <c r="M9" s="45">
        <v>0.8</v>
      </c>
      <c r="N9" s="55"/>
      <c r="P9" s="54"/>
      <c r="Q9" s="45"/>
      <c r="R9" s="55"/>
    </row>
    <row r="10" spans="2:18" x14ac:dyDescent="0.45">
      <c r="L10" s="54" t="s">
        <v>142</v>
      </c>
      <c r="M10" s="45">
        <v>0.25</v>
      </c>
      <c r="N10" s="55"/>
      <c r="P10" s="54" t="s">
        <v>174</v>
      </c>
      <c r="Q10" s="45">
        <v>42</v>
      </c>
      <c r="R10" s="55" t="s">
        <v>153</v>
      </c>
    </row>
    <row r="11" spans="2:18" x14ac:dyDescent="0.45">
      <c r="L11" s="54" t="s">
        <v>143</v>
      </c>
      <c r="M11" s="45">
        <v>0.2</v>
      </c>
      <c r="N11" s="55" t="s">
        <v>144</v>
      </c>
      <c r="P11" s="54"/>
      <c r="Q11" s="45"/>
      <c r="R11" s="55"/>
    </row>
    <row r="12" spans="2:18" x14ac:dyDescent="0.45">
      <c r="L12" s="54" t="s">
        <v>145</v>
      </c>
      <c r="M12" s="45">
        <v>1.8</v>
      </c>
      <c r="N12" s="55" t="s">
        <v>146</v>
      </c>
      <c r="P12" s="54" t="s">
        <v>175</v>
      </c>
      <c r="Q12" s="45">
        <v>13.7</v>
      </c>
      <c r="R12" s="55" t="s">
        <v>154</v>
      </c>
    </row>
    <row r="13" spans="2:18" x14ac:dyDescent="0.45">
      <c r="L13" s="54"/>
      <c r="M13" s="45"/>
      <c r="N13" s="55"/>
      <c r="P13" s="56" t="s">
        <v>170</v>
      </c>
      <c r="Q13" s="45">
        <v>188</v>
      </c>
      <c r="R13" s="55" t="s">
        <v>147</v>
      </c>
    </row>
    <row r="14" spans="2:18" x14ac:dyDescent="0.45">
      <c r="L14" s="56" t="s">
        <v>170</v>
      </c>
      <c r="M14" s="45">
        <v>162</v>
      </c>
      <c r="N14" s="55" t="s">
        <v>147</v>
      </c>
    </row>
    <row r="15" spans="2:18" x14ac:dyDescent="0.45">
      <c r="L15" s="54"/>
      <c r="M15" s="45"/>
      <c r="N15" s="55"/>
    </row>
    <row r="16" spans="2:18" x14ac:dyDescent="0.45">
      <c r="L16" s="54" t="s">
        <v>171</v>
      </c>
      <c r="M16" s="45">
        <v>26.5</v>
      </c>
      <c r="N16" s="55" t="s">
        <v>151</v>
      </c>
    </row>
    <row r="17" spans="12:14" x14ac:dyDescent="0.45">
      <c r="L17" s="54"/>
      <c r="M17" s="45"/>
      <c r="N17" s="55"/>
    </row>
    <row r="18" spans="12:14" x14ac:dyDescent="0.45">
      <c r="L18" s="54" t="s">
        <v>172</v>
      </c>
      <c r="M18" s="45">
        <v>21.7</v>
      </c>
      <c r="N18" s="55" t="s">
        <v>151</v>
      </c>
    </row>
    <row r="19" spans="12:14" x14ac:dyDescent="0.45">
      <c r="L19" s="54"/>
      <c r="M19" s="45"/>
      <c r="N19" s="55"/>
    </row>
    <row r="20" spans="12:14" x14ac:dyDescent="0.45">
      <c r="L20" s="54" t="s">
        <v>66</v>
      </c>
      <c r="M20" s="45">
        <v>4.8</v>
      </c>
      <c r="N20" s="55" t="s">
        <v>151</v>
      </c>
    </row>
    <row r="21" spans="12:14" x14ac:dyDescent="0.45">
      <c r="L21" s="54" t="s">
        <v>148</v>
      </c>
      <c r="M21" s="45">
        <v>11.2</v>
      </c>
      <c r="N21" s="55" t="s">
        <v>151</v>
      </c>
    </row>
    <row r="22" spans="12:14" x14ac:dyDescent="0.45">
      <c r="L22" s="54" t="s">
        <v>149</v>
      </c>
      <c r="M22" s="45">
        <v>16</v>
      </c>
      <c r="N22" s="55" t="s">
        <v>151</v>
      </c>
    </row>
    <row r="23" spans="12:14" x14ac:dyDescent="0.45">
      <c r="L23" s="56" t="s">
        <v>71</v>
      </c>
      <c r="M23" s="45">
        <v>3.2000000000000001E-2</v>
      </c>
      <c r="N23" s="55"/>
    </row>
    <row r="24" spans="12:14" x14ac:dyDescent="0.45">
      <c r="L24" s="56" t="s">
        <v>150</v>
      </c>
      <c r="M24" s="45"/>
      <c r="N24" s="55"/>
    </row>
    <row r="25" spans="12:14" x14ac:dyDescent="0.45">
      <c r="L25" s="56" t="s">
        <v>173</v>
      </c>
      <c r="M25" s="45">
        <v>236</v>
      </c>
      <c r="N25" s="55" t="s">
        <v>152</v>
      </c>
    </row>
    <row r="26" spans="12:14" x14ac:dyDescent="0.45">
      <c r="L26" s="54"/>
      <c r="M26" s="45"/>
      <c r="N26" s="55"/>
    </row>
    <row r="27" spans="12:14" x14ac:dyDescent="0.45">
      <c r="L27" s="54" t="s">
        <v>174</v>
      </c>
      <c r="M27" s="45">
        <v>42</v>
      </c>
      <c r="N27" s="55" t="s">
        <v>153</v>
      </c>
    </row>
    <row r="28" spans="12:14" x14ac:dyDescent="0.45">
      <c r="L28" s="54"/>
      <c r="M28" s="45"/>
      <c r="N28" s="55"/>
    </row>
    <row r="29" spans="12:14" x14ac:dyDescent="0.45">
      <c r="L29" s="54" t="s">
        <v>175</v>
      </c>
      <c r="M29" s="45">
        <v>10.5</v>
      </c>
      <c r="N29" s="55" t="s">
        <v>154</v>
      </c>
    </row>
  </sheetData>
  <mergeCells count="1">
    <mergeCell ref="P7:R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РАСЧЁТЫ</vt:lpstr>
      <vt:lpstr>ПРАКТИЧЕСКАЯ ЗАДАЧА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Студент ДАиГМ</dc:creator>
  <cp:lastModifiedBy>Пуказов Я.Г.</cp:lastModifiedBy>
  <cp:lastPrinted>2018-05-08T16:58:04Z</cp:lastPrinted>
  <dcterms:created xsi:type="dcterms:W3CDTF">2018-03-09T08:48:18Z</dcterms:created>
  <dcterms:modified xsi:type="dcterms:W3CDTF">2018-06-01T09:16:20Z</dcterms:modified>
</cp:coreProperties>
</file>