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2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3.xml" ContentType="application/vnd.openxmlformats-officedocument.drawing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4.xml" ContentType="application/vnd.openxmlformats-officedocument.drawing+xml"/>
  <Override PartName="/xl/charts/chart16.xml" ContentType="application/vnd.openxmlformats-officedocument.drawingml.chart+xml"/>
  <Override PartName="/xl/drawings/drawing5.xml" ContentType="application/vnd.openxmlformats-officedocument.drawing+xml"/>
  <Override PartName="/xl/charts/chart17.xml" ContentType="application/vnd.openxmlformats-officedocument.drawingml.chart+xml"/>
  <Override PartName="/xl/drawings/drawing6.xml" ContentType="application/vnd.openxmlformats-officedocument.drawing+xml"/>
  <Override PartName="/xl/charts/chart18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7.xml" ContentType="application/vnd.openxmlformats-officedocument.drawing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drawings/drawing8.xml" ContentType="application/vnd.openxmlformats-officedocument.drawing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firstSheet="6" activeTab="6"/>
  </bookViews>
  <sheets>
    <sheet name="Главная" sheetId="1" r:id="rId1"/>
    <sheet name="Х-ка ДВС" sheetId="12" r:id="rId2"/>
    <sheet name="Х-ка ГТК" sheetId="11" r:id="rId3"/>
    <sheet name="Выходная х-ка силового агрегата" sheetId="4" r:id="rId4"/>
    <sheet name="Согласование ДВС и ГТК" sheetId="6" r:id="rId5"/>
    <sheet name="Ск-ть ГТК и авто" sheetId="5" r:id="rId6"/>
    <sheet name="Дин. х-ка автомобиля с ГТК" sheetId="7" r:id="rId7"/>
    <sheet name="Тяговые и разгонные х-ки" sheetId="9" r:id="rId8"/>
  </sheets>
  <externalReferences>
    <externalReference r:id="rId9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7" l="1"/>
  <c r="N5" i="9"/>
  <c r="N6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4" i="9"/>
  <c r="D19" i="7" l="1"/>
  <c r="E19" i="7"/>
  <c r="F19" i="7"/>
  <c r="G19" i="7"/>
  <c r="H19" i="7"/>
  <c r="I19" i="7"/>
  <c r="C19" i="7"/>
  <c r="D16" i="7" l="1"/>
  <c r="E16" i="7"/>
  <c r="E18" i="7" s="1"/>
  <c r="F16" i="7"/>
  <c r="G16" i="7"/>
  <c r="G18" i="7" s="1"/>
  <c r="H16" i="7"/>
  <c r="I16" i="7"/>
  <c r="I18" i="7" s="1"/>
  <c r="C16" i="7"/>
  <c r="C8" i="7"/>
  <c r="C12" i="7"/>
  <c r="C15" i="7"/>
  <c r="C17" i="7"/>
  <c r="C18" i="7" s="1"/>
  <c r="D18" i="7"/>
  <c r="F18" i="7"/>
  <c r="H18" i="7"/>
  <c r="O4" i="5" l="1"/>
  <c r="P4" i="5"/>
  <c r="Q4" i="5"/>
  <c r="R4" i="5"/>
  <c r="S4" i="5"/>
  <c r="T4" i="5"/>
  <c r="N4" i="5"/>
  <c r="C77" i="1" l="1"/>
  <c r="D77" i="1"/>
  <c r="E77" i="1"/>
  <c r="F77" i="1"/>
  <c r="G77" i="1"/>
  <c r="H77" i="1"/>
  <c r="B77" i="1"/>
  <c r="C75" i="1"/>
  <c r="C76" i="1" s="1"/>
  <c r="D75" i="1"/>
  <c r="D76" i="1" s="1"/>
  <c r="E75" i="1"/>
  <c r="E76" i="1" s="1"/>
  <c r="F75" i="1"/>
  <c r="F76" i="1" s="1"/>
  <c r="G75" i="1"/>
  <c r="G76" i="1" s="1"/>
  <c r="H75" i="1"/>
  <c r="H76" i="1" s="1"/>
  <c r="B75" i="1"/>
  <c r="B76" i="1" s="1"/>
  <c r="C5" i="7" s="1"/>
  <c r="B4" i="5" s="1"/>
  <c r="V20" i="9"/>
  <c r="Q19" i="7" s="1"/>
  <c r="V21" i="9"/>
  <c r="Q20" i="7" s="1"/>
  <c r="V22" i="9"/>
  <c r="Q21" i="7" s="1"/>
  <c r="V23" i="9"/>
  <c r="Q22" i="7" s="1"/>
  <c r="V24" i="9"/>
  <c r="Q23" i="7" s="1"/>
  <c r="V25" i="9"/>
  <c r="V26" i="9"/>
  <c r="V27" i="9"/>
  <c r="W20" i="9"/>
  <c r="W21" i="9"/>
  <c r="W22" i="9"/>
  <c r="W23" i="9"/>
  <c r="W24" i="9"/>
  <c r="W25" i="9"/>
  <c r="W26" i="9"/>
  <c r="W27" i="9"/>
  <c r="S9" i="9"/>
  <c r="G20" i="9"/>
  <c r="G21" i="9"/>
  <c r="G22" i="9"/>
  <c r="G23" i="9"/>
  <c r="G24" i="9"/>
  <c r="G25" i="9"/>
  <c r="G26" i="9"/>
  <c r="G27" i="9"/>
  <c r="O12" i="7"/>
  <c r="O4" i="7"/>
  <c r="P5" i="9"/>
  <c r="V5" i="9"/>
  <c r="Q4" i="7" s="1"/>
  <c r="V6" i="9"/>
  <c r="Q5" i="7" s="1"/>
  <c r="V7" i="9"/>
  <c r="Q6" i="7" s="1"/>
  <c r="V8" i="9"/>
  <c r="Q7" i="7" s="1"/>
  <c r="V9" i="9"/>
  <c r="Q8" i="7" s="1"/>
  <c r="V10" i="9"/>
  <c r="Q9" i="7" s="1"/>
  <c r="V11" i="9"/>
  <c r="Q10" i="7" s="1"/>
  <c r="V12" i="9"/>
  <c r="Q11" i="7" s="1"/>
  <c r="V13" i="9"/>
  <c r="Q12" i="7" s="1"/>
  <c r="V14" i="9"/>
  <c r="Q13" i="7" s="1"/>
  <c r="V15" i="9"/>
  <c r="Q14" i="7" s="1"/>
  <c r="V16" i="9"/>
  <c r="Q15" i="7" s="1"/>
  <c r="V17" i="9"/>
  <c r="Q16" i="7" s="1"/>
  <c r="V18" i="9"/>
  <c r="Q17" i="7" s="1"/>
  <c r="V19" i="9"/>
  <c r="Q18" i="7" s="1"/>
  <c r="V4" i="9"/>
  <c r="Q3" i="7" s="1"/>
  <c r="D20" i="7" l="1"/>
  <c r="F20" i="7"/>
  <c r="H20" i="7"/>
  <c r="C20" i="7"/>
  <c r="E20" i="7"/>
  <c r="G20" i="7"/>
  <c r="I20" i="7"/>
  <c r="P19" i="9"/>
  <c r="L12" i="7"/>
  <c r="C4" i="7" l="1"/>
  <c r="R8" i="7"/>
  <c r="R9" i="7"/>
  <c r="R10" i="7"/>
  <c r="R11" i="7"/>
  <c r="R12" i="7"/>
  <c r="R13" i="7"/>
  <c r="R14" i="7"/>
  <c r="R15" i="7"/>
  <c r="R16" i="7"/>
  <c r="R17" i="7"/>
  <c r="R18" i="7"/>
  <c r="R19" i="7"/>
  <c r="R20" i="7"/>
  <c r="R21" i="7"/>
  <c r="R22" i="7"/>
  <c r="R23" i="7"/>
  <c r="Y12" i="7"/>
  <c r="Y14" i="7"/>
  <c r="Y16" i="7"/>
  <c r="Y5" i="7"/>
  <c r="Y7" i="7"/>
  <c r="Y9" i="7"/>
  <c r="Y10" i="7"/>
  <c r="R7" i="7"/>
  <c r="R6" i="7"/>
  <c r="R5" i="7"/>
  <c r="R4" i="7"/>
  <c r="R3" i="7"/>
  <c r="C3" i="7"/>
  <c r="L14" i="7"/>
  <c r="L6" i="7"/>
  <c r="L7" i="7"/>
  <c r="D4" i="7"/>
  <c r="E4" i="7"/>
  <c r="F4" i="7"/>
  <c r="G4" i="7"/>
  <c r="H4" i="7"/>
  <c r="I4" i="7"/>
  <c r="D3" i="7"/>
  <c r="E3" i="7"/>
  <c r="F3" i="7"/>
  <c r="G3" i="7"/>
  <c r="H3" i="7"/>
  <c r="I3" i="7"/>
  <c r="C2" i="5"/>
  <c r="O3" i="5" s="1"/>
  <c r="D2" i="7" s="1"/>
  <c r="D2" i="5"/>
  <c r="P3" i="5" s="1"/>
  <c r="E2" i="7" s="1"/>
  <c r="E2" i="5"/>
  <c r="Q3" i="5" s="1"/>
  <c r="F2" i="7" s="1"/>
  <c r="F2" i="5"/>
  <c r="R3" i="5" s="1"/>
  <c r="G2" i="7" s="1"/>
  <c r="G2" i="5"/>
  <c r="S3" i="5" s="1"/>
  <c r="H2" i="7" s="1"/>
  <c r="H2" i="5"/>
  <c r="T3" i="5" s="1"/>
  <c r="I2" i="7" s="1"/>
  <c r="B2" i="5"/>
  <c r="N3" i="5" s="1"/>
  <c r="C2" i="7" s="1"/>
  <c r="T17" i="7" l="1"/>
  <c r="T23" i="7"/>
  <c r="U23" i="7"/>
  <c r="X23" i="7" s="1"/>
  <c r="U17" i="7"/>
  <c r="X17" i="7" s="1"/>
  <c r="T8" i="7"/>
  <c r="T22" i="7"/>
  <c r="T13" i="7"/>
  <c r="T20" i="7"/>
  <c r="T4" i="7"/>
  <c r="T18" i="7"/>
  <c r="U22" i="7"/>
  <c r="X22" i="7" s="1"/>
  <c r="U18" i="7"/>
  <c r="X18" i="7" s="1"/>
  <c r="T14" i="7"/>
  <c r="T21" i="7"/>
  <c r="T12" i="7"/>
  <c r="T19" i="7"/>
  <c r="U14" i="7"/>
  <c r="U21" i="7"/>
  <c r="X21" i="7" s="1"/>
  <c r="U12" i="7"/>
  <c r="U19" i="7"/>
  <c r="X19" i="7" s="1"/>
  <c r="Y18" i="7"/>
  <c r="Y19" i="7"/>
  <c r="Y23" i="7"/>
  <c r="Y17" i="7"/>
  <c r="Y20" i="7"/>
  <c r="Y21" i="7"/>
  <c r="Y22" i="7"/>
  <c r="Y3" i="7"/>
  <c r="Y8" i="7"/>
  <c r="Y6" i="7"/>
  <c r="Y4" i="7"/>
  <c r="Y15" i="7"/>
  <c r="Y13" i="7"/>
  <c r="Y11" i="7"/>
  <c r="U20" i="7"/>
  <c r="X20" i="7" s="1"/>
  <c r="T6" i="7"/>
  <c r="U11" i="7"/>
  <c r="U15" i="7"/>
  <c r="T11" i="7"/>
  <c r="T15" i="7"/>
  <c r="U13" i="7"/>
  <c r="T16" i="7"/>
  <c r="U16" i="7"/>
  <c r="U9" i="7"/>
  <c r="T10" i="7"/>
  <c r="T9" i="7"/>
  <c r="U8" i="7"/>
  <c r="T3" i="7"/>
  <c r="T5" i="7"/>
  <c r="T7" i="7"/>
  <c r="U4" i="7"/>
  <c r="U5" i="7"/>
  <c r="U6" i="7"/>
  <c r="U7" i="7"/>
  <c r="E74" i="1"/>
  <c r="E73" i="1"/>
  <c r="F6" i="7" s="1"/>
  <c r="G74" i="1"/>
  <c r="H74" i="1"/>
  <c r="H73" i="1"/>
  <c r="I6" i="7" s="1"/>
  <c r="D73" i="1"/>
  <c r="E6" i="7" s="1"/>
  <c r="C73" i="1"/>
  <c r="D6" i="7" s="1"/>
  <c r="B73" i="1"/>
  <c r="B74" i="1"/>
  <c r="O58" i="1"/>
  <c r="H70" i="1" s="1"/>
  <c r="C58" i="1"/>
  <c r="Q46" i="1"/>
  <c r="A15" i="1"/>
  <c r="A16" i="1"/>
  <c r="A17" i="1"/>
  <c r="A18" i="1"/>
  <c r="A19" i="1"/>
  <c r="A20" i="1"/>
  <c r="A21" i="1"/>
  <c r="A14" i="1"/>
  <c r="B15" i="1"/>
  <c r="B16" i="1"/>
  <c r="B17" i="1"/>
  <c r="B18" i="1"/>
  <c r="B19" i="1"/>
  <c r="B20" i="1"/>
  <c r="B21" i="1"/>
  <c r="B14" i="1"/>
  <c r="C20" i="9" l="1"/>
  <c r="E20" i="9" s="1"/>
  <c r="C12" i="9"/>
  <c r="C4" i="9" s="1"/>
  <c r="E4" i="9" s="1"/>
  <c r="C26" i="9"/>
  <c r="E26" i="9" s="1"/>
  <c r="C18" i="9"/>
  <c r="C10" i="9"/>
  <c r="C24" i="9"/>
  <c r="E24" i="9" s="1"/>
  <c r="C16" i="9"/>
  <c r="C8" i="9"/>
  <c r="C22" i="9"/>
  <c r="E22" i="9" s="1"/>
  <c r="C14" i="9"/>
  <c r="C6" i="9"/>
  <c r="C27" i="9"/>
  <c r="E27" i="9" s="1"/>
  <c r="C19" i="9"/>
  <c r="C11" i="9"/>
  <c r="C25" i="9"/>
  <c r="E25" i="9" s="1"/>
  <c r="C17" i="9"/>
  <c r="C9" i="9"/>
  <c r="C23" i="9"/>
  <c r="E23" i="9" s="1"/>
  <c r="C15" i="9"/>
  <c r="C7" i="9"/>
  <c r="C21" i="9"/>
  <c r="E21" i="9" s="1"/>
  <c r="C13" i="9"/>
  <c r="C5" i="9"/>
  <c r="C14" i="1"/>
  <c r="G14" i="1" s="1"/>
  <c r="H23" i="9" l="1"/>
  <c r="U23" i="9"/>
  <c r="H27" i="9"/>
  <c r="U27" i="9"/>
  <c r="H24" i="9"/>
  <c r="U24" i="9"/>
  <c r="H14" i="1"/>
  <c r="U21" i="9"/>
  <c r="H21" i="9"/>
  <c r="U25" i="9"/>
  <c r="H25" i="9"/>
  <c r="U22" i="9"/>
  <c r="H22" i="9"/>
  <c r="H26" i="9"/>
  <c r="U26" i="9"/>
  <c r="U20" i="9"/>
  <c r="H20" i="9"/>
  <c r="D14" i="1"/>
  <c r="F14" i="1"/>
  <c r="I14" i="1" l="1"/>
  <c r="J14" i="1" s="1"/>
  <c r="K14" i="1" s="1"/>
  <c r="L5" i="7"/>
  <c r="F74" i="1"/>
  <c r="F73" i="1"/>
  <c r="G6" i="7" s="1"/>
  <c r="G73" i="1"/>
  <c r="H6" i="7" s="1"/>
  <c r="D74" i="1"/>
  <c r="C74" i="1"/>
  <c r="O59" i="1"/>
  <c r="O60" i="1"/>
  <c r="O61" i="1"/>
  <c r="O62" i="1"/>
  <c r="O63" i="1"/>
  <c r="O64" i="1"/>
  <c r="O65" i="1"/>
  <c r="M59" i="1"/>
  <c r="M60" i="1"/>
  <c r="M61" i="1"/>
  <c r="M62" i="1"/>
  <c r="M63" i="1"/>
  <c r="M64" i="1"/>
  <c r="M65" i="1"/>
  <c r="M58" i="1"/>
  <c r="K59" i="1"/>
  <c r="K60" i="1"/>
  <c r="K61" i="1"/>
  <c r="K62" i="1"/>
  <c r="K63" i="1"/>
  <c r="K64" i="1"/>
  <c r="K65" i="1"/>
  <c r="K58" i="1"/>
  <c r="I59" i="1"/>
  <c r="I60" i="1"/>
  <c r="I61" i="1"/>
  <c r="I62" i="1"/>
  <c r="I63" i="1"/>
  <c r="I64" i="1"/>
  <c r="I65" i="1"/>
  <c r="I58" i="1"/>
  <c r="G59" i="1"/>
  <c r="G60" i="1"/>
  <c r="G61" i="1"/>
  <c r="G62" i="1"/>
  <c r="G63" i="1"/>
  <c r="G64" i="1"/>
  <c r="G65" i="1"/>
  <c r="G58" i="1"/>
  <c r="E59" i="1"/>
  <c r="E60" i="1"/>
  <c r="E61" i="1"/>
  <c r="E62" i="1"/>
  <c r="E63" i="1"/>
  <c r="E64" i="1"/>
  <c r="E65" i="1"/>
  <c r="E58" i="1"/>
  <c r="C59" i="1"/>
  <c r="C60" i="1"/>
  <c r="C61" i="1"/>
  <c r="C62" i="1"/>
  <c r="C63" i="1"/>
  <c r="C64" i="1"/>
  <c r="C65" i="1"/>
  <c r="D12" i="9" l="1"/>
  <c r="D20" i="9"/>
  <c r="F20" i="9" s="1"/>
  <c r="I20" i="9" s="1"/>
  <c r="J20" i="9" s="1"/>
  <c r="K20" i="9" s="1"/>
  <c r="L20" i="9" s="1"/>
  <c r="M20" i="9" s="1"/>
  <c r="D4" i="9"/>
  <c r="P58" i="1"/>
  <c r="B70" i="1"/>
  <c r="W4" i="9" l="1"/>
  <c r="W5" i="9"/>
  <c r="W6" i="9"/>
  <c r="W7" i="9"/>
  <c r="W8" i="9"/>
  <c r="W9" i="9"/>
  <c r="W10" i="9"/>
  <c r="W11" i="9"/>
  <c r="W12" i="9"/>
  <c r="W13" i="9"/>
  <c r="W14" i="9"/>
  <c r="W15" i="9"/>
  <c r="W16" i="9"/>
  <c r="W17" i="9"/>
  <c r="W18" i="9"/>
  <c r="W19" i="9"/>
  <c r="V4" i="6"/>
  <c r="C6" i="7"/>
  <c r="P13" i="9"/>
  <c r="P14" i="9"/>
  <c r="P10" i="9"/>
  <c r="O3" i="7"/>
  <c r="P7" i="9" s="1"/>
  <c r="L3" i="7"/>
  <c r="AB4" i="6"/>
  <c r="AB5" i="6"/>
  <c r="AB6" i="6"/>
  <c r="AB7" i="6"/>
  <c r="Z4" i="6"/>
  <c r="Z5" i="6"/>
  <c r="Z6" i="6"/>
  <c r="Z7" i="6"/>
  <c r="X4" i="6"/>
  <c r="X5" i="6"/>
  <c r="X6" i="6"/>
  <c r="X7" i="6"/>
  <c r="V5" i="6"/>
  <c r="V6" i="6"/>
  <c r="V7" i="6"/>
  <c r="T4" i="6"/>
  <c r="T5" i="6"/>
  <c r="T6" i="6"/>
  <c r="T7" i="6"/>
  <c r="S4" i="6"/>
  <c r="S5" i="6"/>
  <c r="S6" i="6"/>
  <c r="S7" i="6"/>
  <c r="S3" i="6"/>
  <c r="E6" i="6"/>
  <c r="E5" i="6"/>
  <c r="E4" i="6"/>
  <c r="E3" i="6"/>
  <c r="E2" i="6"/>
  <c r="E1" i="6"/>
  <c r="E7" i="6"/>
  <c r="B8" i="4"/>
  <c r="B7" i="4"/>
  <c r="B6" i="4"/>
  <c r="B5" i="4"/>
  <c r="B4" i="4"/>
  <c r="B3" i="4"/>
  <c r="B2" i="4"/>
  <c r="X12" i="7" l="1"/>
  <c r="X14" i="7"/>
  <c r="X16" i="7"/>
  <c r="X11" i="7"/>
  <c r="X15" i="7"/>
  <c r="X13" i="7"/>
  <c r="X9" i="7"/>
  <c r="X6" i="7"/>
  <c r="X7" i="7"/>
  <c r="X4" i="7"/>
  <c r="X8" i="7"/>
  <c r="X5" i="7"/>
  <c r="P3" i="9"/>
  <c r="G11" i="9"/>
  <c r="U10" i="7"/>
  <c r="U3" i="7"/>
  <c r="X3" i="7" s="1"/>
  <c r="X10" i="7"/>
  <c r="D12" i="7"/>
  <c r="F12" i="7"/>
  <c r="H12" i="7"/>
  <c r="G12" i="7"/>
  <c r="E12" i="7"/>
  <c r="I12" i="7"/>
  <c r="D8" i="7"/>
  <c r="H8" i="7"/>
  <c r="I8" i="7"/>
  <c r="G8" i="7"/>
  <c r="F8" i="7"/>
  <c r="E8" i="7"/>
  <c r="P12" i="9"/>
  <c r="O10" i="7"/>
  <c r="E11" i="9" l="1"/>
  <c r="B4" i="12"/>
  <c r="D5" i="12"/>
  <c r="D6" i="12"/>
  <c r="D7" i="12"/>
  <c r="D8" i="12"/>
  <c r="D9" i="12"/>
  <c r="D10" i="12"/>
  <c r="D11" i="12"/>
  <c r="D4" i="12"/>
  <c r="G5" i="12"/>
  <c r="G6" i="12"/>
  <c r="G7" i="12"/>
  <c r="G8" i="12"/>
  <c r="G9" i="12"/>
  <c r="G10" i="12"/>
  <c r="G11" i="12"/>
  <c r="G4" i="12"/>
  <c r="B5" i="12"/>
  <c r="B6" i="12"/>
  <c r="B7" i="12"/>
  <c r="B8" i="12"/>
  <c r="B9" i="12"/>
  <c r="B10" i="12"/>
  <c r="B11" i="12"/>
  <c r="C5" i="12"/>
  <c r="C6" i="12"/>
  <c r="C7" i="12"/>
  <c r="C8" i="12"/>
  <c r="C9" i="12"/>
  <c r="C10" i="12"/>
  <c r="C11" i="12"/>
  <c r="C4" i="12"/>
  <c r="G19" i="9"/>
  <c r="G18" i="9"/>
  <c r="G17" i="9"/>
  <c r="G16" i="9"/>
  <c r="G15" i="9"/>
  <c r="G14" i="9"/>
  <c r="G13" i="9"/>
  <c r="G12" i="9"/>
  <c r="G10" i="9"/>
  <c r="G9" i="9"/>
  <c r="G8" i="9"/>
  <c r="G7" i="9"/>
  <c r="G6" i="9"/>
  <c r="G5" i="9"/>
  <c r="G4" i="9"/>
  <c r="S7" i="9"/>
  <c r="H11" i="9" l="1"/>
  <c r="E9" i="9"/>
  <c r="E7" i="9"/>
  <c r="E5" i="9"/>
  <c r="E10" i="9"/>
  <c r="E8" i="9"/>
  <c r="E6" i="9"/>
  <c r="O11" i="7"/>
  <c r="P8" i="9"/>
  <c r="P9" i="9"/>
  <c r="U6" i="9" l="1"/>
  <c r="H6" i="9"/>
  <c r="H7" i="9"/>
  <c r="U7" i="9"/>
  <c r="H9" i="9"/>
  <c r="U9" i="9"/>
  <c r="U11" i="9"/>
  <c r="H4" i="9"/>
  <c r="U4" i="9"/>
  <c r="H8" i="9"/>
  <c r="U8" i="9"/>
  <c r="H10" i="9"/>
  <c r="U10" i="9"/>
  <c r="H5" i="9"/>
  <c r="U5" i="9"/>
  <c r="P4" i="9"/>
  <c r="E12" i="9" s="1"/>
  <c r="S8" i="9"/>
  <c r="E19" i="9" l="1"/>
  <c r="U19" i="9" s="1"/>
  <c r="E17" i="9"/>
  <c r="E15" i="9"/>
  <c r="E13" i="9"/>
  <c r="E18" i="9"/>
  <c r="E16" i="9"/>
  <c r="E14" i="9"/>
  <c r="H12" i="9" l="1"/>
  <c r="U12" i="9"/>
  <c r="H16" i="9"/>
  <c r="U16" i="9"/>
  <c r="H15" i="9"/>
  <c r="U15" i="9"/>
  <c r="H19" i="9"/>
  <c r="H14" i="9"/>
  <c r="U14" i="9"/>
  <c r="H18" i="9"/>
  <c r="U18" i="9"/>
  <c r="H13" i="9"/>
  <c r="U13" i="9"/>
  <c r="H17" i="9"/>
  <c r="U17" i="9"/>
  <c r="AB8" i="6" l="1"/>
  <c r="V8" i="6"/>
  <c r="X8" i="6"/>
  <c r="Z8" i="6"/>
  <c r="E78" i="1"/>
  <c r="V20" i="7" s="1"/>
  <c r="A59" i="1"/>
  <c r="A3" i="6" s="1"/>
  <c r="A60" i="1"/>
  <c r="F60" i="1" s="1"/>
  <c r="A61" i="1"/>
  <c r="A5" i="6" s="1"/>
  <c r="A62" i="1"/>
  <c r="A6" i="6" s="1"/>
  <c r="A63" i="1"/>
  <c r="A7" i="6" s="1"/>
  <c r="A64" i="1"/>
  <c r="A8" i="6" s="1"/>
  <c r="A65" i="1"/>
  <c r="A9" i="6" s="1"/>
  <c r="A58" i="1"/>
  <c r="B58" i="1" s="1"/>
  <c r="Q37" i="1"/>
  <c r="H61" i="1" l="1"/>
  <c r="D61" i="1"/>
  <c r="J60" i="1"/>
  <c r="H59" i="1"/>
  <c r="V6" i="7"/>
  <c r="V13" i="7"/>
  <c r="H64" i="1"/>
  <c r="H62" i="1"/>
  <c r="H65" i="1"/>
  <c r="L64" i="1"/>
  <c r="D64" i="1"/>
  <c r="H63" i="1"/>
  <c r="L62" i="1"/>
  <c r="D62" i="1"/>
  <c r="L65" i="1"/>
  <c r="D65" i="1"/>
  <c r="N64" i="1"/>
  <c r="J64" i="1"/>
  <c r="F64" i="1"/>
  <c r="B64" i="1"/>
  <c r="L63" i="1"/>
  <c r="D63" i="1"/>
  <c r="N62" i="1"/>
  <c r="J62" i="1"/>
  <c r="F62" i="1"/>
  <c r="B62" i="1"/>
  <c r="L61" i="1"/>
  <c r="F61" i="1"/>
  <c r="B61" i="1"/>
  <c r="N60" i="1"/>
  <c r="L59" i="1"/>
  <c r="D59" i="1"/>
  <c r="J58" i="1"/>
  <c r="I5" i="7"/>
  <c r="A4" i="6"/>
  <c r="B60" i="1"/>
  <c r="L3" i="6"/>
  <c r="K3" i="6"/>
  <c r="I3" i="6"/>
  <c r="G3" i="6"/>
  <c r="J3" i="6"/>
  <c r="H3" i="6"/>
  <c r="V10" i="6"/>
  <c r="A2" i="6"/>
  <c r="D58" i="1"/>
  <c r="F58" i="1"/>
  <c r="N58" i="1"/>
  <c r="L9" i="6"/>
  <c r="J9" i="6"/>
  <c r="H9" i="6"/>
  <c r="K9" i="6"/>
  <c r="I9" i="6"/>
  <c r="G9" i="6"/>
  <c r="L8" i="6"/>
  <c r="J8" i="6"/>
  <c r="H8" i="6"/>
  <c r="K8" i="6"/>
  <c r="I8" i="6"/>
  <c r="G8" i="6"/>
  <c r="L7" i="6"/>
  <c r="J7" i="6"/>
  <c r="H7" i="6"/>
  <c r="K7" i="6"/>
  <c r="I7" i="6"/>
  <c r="G7" i="6"/>
  <c r="L6" i="6"/>
  <c r="J6" i="6"/>
  <c r="H6" i="6"/>
  <c r="K6" i="6"/>
  <c r="I6" i="6"/>
  <c r="G6" i="6"/>
  <c r="L5" i="6"/>
  <c r="J5" i="6"/>
  <c r="H5" i="6"/>
  <c r="K5" i="6"/>
  <c r="I5" i="6"/>
  <c r="G5" i="6"/>
  <c r="L60" i="1"/>
  <c r="H60" i="1"/>
  <c r="D60" i="1"/>
  <c r="N59" i="1"/>
  <c r="J59" i="1"/>
  <c r="F59" i="1"/>
  <c r="B59" i="1"/>
  <c r="H5" i="7"/>
  <c r="F5" i="7"/>
  <c r="T8" i="6"/>
  <c r="G5" i="7"/>
  <c r="E5" i="7"/>
  <c r="C78" i="1"/>
  <c r="V18" i="7" s="1"/>
  <c r="H58" i="1"/>
  <c r="L58" i="1"/>
  <c r="N65" i="1"/>
  <c r="J65" i="1"/>
  <c r="F65" i="1"/>
  <c r="B65" i="1"/>
  <c r="N63" i="1"/>
  <c r="J63" i="1"/>
  <c r="F63" i="1"/>
  <c r="B63" i="1"/>
  <c r="N61" i="1"/>
  <c r="J61" i="1"/>
  <c r="H8" i="5" l="1"/>
  <c r="I15" i="7" s="1"/>
  <c r="D4" i="5"/>
  <c r="E7" i="7" s="1"/>
  <c r="E9" i="7" s="1"/>
  <c r="D8" i="5"/>
  <c r="E15" i="7" s="1"/>
  <c r="E4" i="5"/>
  <c r="F7" i="7" s="1"/>
  <c r="F9" i="7" s="1"/>
  <c r="E8" i="5"/>
  <c r="F15" i="7" s="1"/>
  <c r="G4" i="5"/>
  <c r="H7" i="7" s="1"/>
  <c r="H9" i="7" s="1"/>
  <c r="G8" i="5"/>
  <c r="H15" i="7" s="1"/>
  <c r="F4" i="5"/>
  <c r="G7" i="7" s="1"/>
  <c r="W7" i="7" s="1"/>
  <c r="F8" i="5"/>
  <c r="G15" i="7" s="1"/>
  <c r="W5" i="7"/>
  <c r="A3" i="4"/>
  <c r="V4" i="7"/>
  <c r="V11" i="7"/>
  <c r="C3" i="4"/>
  <c r="D5" i="7"/>
  <c r="H6" i="5"/>
  <c r="I11" i="7" s="1"/>
  <c r="AB9" i="6"/>
  <c r="C8" i="4"/>
  <c r="F78" i="1"/>
  <c r="V21" i="7" s="1"/>
  <c r="X10" i="6"/>
  <c r="AB10" i="6"/>
  <c r="H78" i="1"/>
  <c r="V23" i="7" s="1"/>
  <c r="Z10" i="6"/>
  <c r="G78" i="1"/>
  <c r="V22" i="7" s="1"/>
  <c r="X9" i="6"/>
  <c r="C6" i="4"/>
  <c r="K2" i="6"/>
  <c r="J2" i="6"/>
  <c r="H2" i="6"/>
  <c r="I2" i="6"/>
  <c r="L2" i="6"/>
  <c r="G2" i="6"/>
  <c r="L4" i="6"/>
  <c r="J4" i="6"/>
  <c r="H4" i="6"/>
  <c r="K4" i="6"/>
  <c r="I4" i="6"/>
  <c r="G4" i="6"/>
  <c r="T10" i="6"/>
  <c r="D78" i="1"/>
  <c r="V19" i="7" s="1"/>
  <c r="Z9" i="6"/>
  <c r="C7" i="4"/>
  <c r="V9" i="6"/>
  <c r="C5" i="4"/>
  <c r="C4" i="4"/>
  <c r="T9" i="6"/>
  <c r="X11" i="6"/>
  <c r="V11" i="6"/>
  <c r="A5" i="4"/>
  <c r="S8" i="6"/>
  <c r="G9" i="7" l="1"/>
  <c r="G10" i="7" s="1"/>
  <c r="W8" i="7"/>
  <c r="W6" i="7"/>
  <c r="Z6" i="7" s="1"/>
  <c r="W23" i="7"/>
  <c r="Z23" i="7" s="1"/>
  <c r="AF23" i="7" s="1"/>
  <c r="I17" i="7"/>
  <c r="H4" i="5"/>
  <c r="I7" i="7" s="1"/>
  <c r="W9" i="7" s="1"/>
  <c r="W21" i="7"/>
  <c r="G17" i="7"/>
  <c r="W22" i="7"/>
  <c r="H17" i="7"/>
  <c r="W20" i="7"/>
  <c r="Z20" i="7" s="1"/>
  <c r="F17" i="7"/>
  <c r="W19" i="7"/>
  <c r="E17" i="7"/>
  <c r="C4" i="5"/>
  <c r="D7" i="7" s="1"/>
  <c r="C8" i="5"/>
  <c r="D15" i="7" s="1"/>
  <c r="T11" i="6"/>
  <c r="V12" i="7"/>
  <c r="V5" i="7"/>
  <c r="A7" i="4"/>
  <c r="V8" i="7"/>
  <c r="V15" i="7"/>
  <c r="A8" i="4"/>
  <c r="V16" i="7"/>
  <c r="V9" i="7"/>
  <c r="W16" i="7"/>
  <c r="I13" i="7"/>
  <c r="Z7" i="7"/>
  <c r="Z8" i="7"/>
  <c r="F10" i="7"/>
  <c r="A6" i="4"/>
  <c r="V14" i="7"/>
  <c r="V7" i="7"/>
  <c r="H10" i="7"/>
  <c r="E10" i="7"/>
  <c r="Z5" i="7"/>
  <c r="AF5" i="7" s="1"/>
  <c r="AB11" i="6"/>
  <c r="G6" i="5"/>
  <c r="A4" i="4"/>
  <c r="Z11" i="6"/>
  <c r="S10" i="6"/>
  <c r="B78" i="1"/>
  <c r="V17" i="7" s="1"/>
  <c r="E6" i="5"/>
  <c r="F6" i="5"/>
  <c r="D6" i="5"/>
  <c r="C6" i="5"/>
  <c r="C2" i="4"/>
  <c r="AA23" i="7" l="1"/>
  <c r="AB23" i="7" s="1"/>
  <c r="W4" i="7"/>
  <c r="Z4" i="7" s="1"/>
  <c r="I9" i="7"/>
  <c r="D9" i="7"/>
  <c r="Z19" i="7"/>
  <c r="AF19" i="7" s="1"/>
  <c r="Z22" i="7"/>
  <c r="AA22" i="7" s="1"/>
  <c r="AB22" i="7" s="1"/>
  <c r="Z21" i="7"/>
  <c r="AF21" i="7" s="1"/>
  <c r="W18" i="7"/>
  <c r="Z18" i="7" s="1"/>
  <c r="D17" i="7"/>
  <c r="AF22" i="7"/>
  <c r="AF20" i="7"/>
  <c r="AA20" i="7"/>
  <c r="AB20" i="7" s="1"/>
  <c r="AC20" i="7" s="1"/>
  <c r="AA5" i="7"/>
  <c r="AB5" i="7" s="1"/>
  <c r="AC5" i="7" s="1"/>
  <c r="AD5" i="7" s="1"/>
  <c r="AE5" i="7" s="1"/>
  <c r="D10" i="7"/>
  <c r="Z9" i="7"/>
  <c r="AF8" i="7"/>
  <c r="AA8" i="7"/>
  <c r="AB8" i="7" s="1"/>
  <c r="AC8" i="7" s="1"/>
  <c r="AD8" i="7" s="1"/>
  <c r="AE8" i="7" s="1"/>
  <c r="AF7" i="7"/>
  <c r="AA7" i="7"/>
  <c r="AB7" i="7" s="1"/>
  <c r="AC7" i="7" s="1"/>
  <c r="AD7" i="7" s="1"/>
  <c r="AE7" i="7" s="1"/>
  <c r="I14" i="7"/>
  <c r="V10" i="7"/>
  <c r="V3" i="7"/>
  <c r="I10" i="7"/>
  <c r="AF6" i="7"/>
  <c r="AA6" i="7"/>
  <c r="AB6" i="7" s="1"/>
  <c r="AC6" i="7" s="1"/>
  <c r="AD6" i="7" s="1"/>
  <c r="AE6" i="7" s="1"/>
  <c r="Z16" i="7"/>
  <c r="E11" i="7"/>
  <c r="F11" i="7"/>
  <c r="D11" i="7"/>
  <c r="G11" i="7"/>
  <c r="E13" i="7"/>
  <c r="H11" i="7"/>
  <c r="D13" i="7"/>
  <c r="A2" i="4"/>
  <c r="S11" i="6"/>
  <c r="S9" i="6"/>
  <c r="W14" i="7" l="1"/>
  <c r="W13" i="7"/>
  <c r="Z13" i="7" s="1"/>
  <c r="AA21" i="7"/>
  <c r="AB21" i="7" s="1"/>
  <c r="AC21" i="7" s="1"/>
  <c r="AA19" i="7"/>
  <c r="AB19" i="7" s="1"/>
  <c r="AC19" i="7" s="1"/>
  <c r="AF18" i="7"/>
  <c r="AA18" i="7"/>
  <c r="AB18" i="7" s="1"/>
  <c r="AC18" i="7" s="1"/>
  <c r="C7" i="7"/>
  <c r="B8" i="5"/>
  <c r="B6" i="5"/>
  <c r="C11" i="7" s="1"/>
  <c r="W11" i="7"/>
  <c r="W12" i="7"/>
  <c r="AF4" i="7"/>
  <c r="AA4" i="7"/>
  <c r="AB4" i="7" s="1"/>
  <c r="AC4" i="7" s="1"/>
  <c r="AD4" i="7" s="1"/>
  <c r="AE4" i="7" s="1"/>
  <c r="AF9" i="7"/>
  <c r="AA9" i="7"/>
  <c r="AB9" i="7" s="1"/>
  <c r="AC9" i="7" s="1"/>
  <c r="AD9" i="7" s="1"/>
  <c r="AE9" i="7" s="1"/>
  <c r="W15" i="7"/>
  <c r="Z14" i="7"/>
  <c r="AF16" i="7"/>
  <c r="AA16" i="7"/>
  <c r="AB16" i="7" s="1"/>
  <c r="AC16" i="7" s="1"/>
  <c r="G13" i="7"/>
  <c r="F13" i="7"/>
  <c r="G14" i="7"/>
  <c r="D14" i="7"/>
  <c r="H13" i="7"/>
  <c r="E14" i="7"/>
  <c r="W17" i="7" l="1"/>
  <c r="AD16" i="7"/>
  <c r="AE16" i="7" s="1"/>
  <c r="AD23" i="7"/>
  <c r="AE23" i="7" s="1"/>
  <c r="Z15" i="7"/>
  <c r="Z12" i="7"/>
  <c r="Z11" i="7"/>
  <c r="W10" i="7"/>
  <c r="Z10" i="7" s="1"/>
  <c r="AF13" i="7"/>
  <c r="AA13" i="7"/>
  <c r="AB13" i="7" s="1"/>
  <c r="AC13" i="7" s="1"/>
  <c r="AF14" i="7"/>
  <c r="AA14" i="7"/>
  <c r="AB14" i="7" s="1"/>
  <c r="AC14" i="7" s="1"/>
  <c r="W3" i="7"/>
  <c r="Z3" i="7" s="1"/>
  <c r="AA3" i="7" s="1"/>
  <c r="F14" i="7"/>
  <c r="H14" i="7"/>
  <c r="C9" i="7"/>
  <c r="C13" i="7"/>
  <c r="Z17" i="7" l="1"/>
  <c r="AF17" i="7" s="1"/>
  <c r="AD14" i="7"/>
  <c r="AE14" i="7" s="1"/>
  <c r="AD21" i="7"/>
  <c r="AE21" i="7" s="1"/>
  <c r="AD13" i="7"/>
  <c r="AE13" i="7" s="1"/>
  <c r="AD20" i="7"/>
  <c r="AE20" i="7" s="1"/>
  <c r="AF11" i="7"/>
  <c r="AA11" i="7"/>
  <c r="AB11" i="7" s="1"/>
  <c r="AC11" i="7" s="1"/>
  <c r="AF12" i="7"/>
  <c r="AA12" i="7"/>
  <c r="AB12" i="7" s="1"/>
  <c r="AC12" i="7" s="1"/>
  <c r="AA10" i="7"/>
  <c r="AF10" i="7"/>
  <c r="AF15" i="7"/>
  <c r="AA15" i="7"/>
  <c r="AB15" i="7" s="1"/>
  <c r="AC15" i="7" s="1"/>
  <c r="C14" i="7"/>
  <c r="C10" i="7"/>
  <c r="AA17" i="7" l="1"/>
  <c r="AB17" i="7" s="1"/>
  <c r="AC17" i="7" s="1"/>
  <c r="AD15" i="7"/>
  <c r="AE15" i="7" s="1"/>
  <c r="AD22" i="7"/>
  <c r="AE22" i="7" s="1"/>
  <c r="AD12" i="7"/>
  <c r="AE12" i="7" s="1"/>
  <c r="AD19" i="7"/>
  <c r="AE19" i="7" s="1"/>
  <c r="AD11" i="7"/>
  <c r="AE11" i="7" s="1"/>
  <c r="AD18" i="7"/>
  <c r="AE18" i="7" s="1"/>
  <c r="AB10" i="7"/>
  <c r="AC10" i="7" s="1"/>
  <c r="AB3" i="7"/>
  <c r="AC3" i="7" s="1"/>
  <c r="AF3" i="7"/>
  <c r="AD17" i="7" l="1"/>
  <c r="AE17" i="7" s="1"/>
  <c r="AD3" i="7"/>
  <c r="AD10" i="7"/>
  <c r="AE10" i="7" l="1"/>
  <c r="AE3" i="7"/>
  <c r="G70" i="1" l="1"/>
  <c r="F70" i="1"/>
  <c r="E70" i="1"/>
  <c r="D70" i="1"/>
  <c r="C70" i="1"/>
  <c r="AB3" i="6" l="1"/>
  <c r="Z3" i="6"/>
  <c r="X3" i="6"/>
  <c r="V3" i="6"/>
  <c r="T3" i="6"/>
  <c r="Q34" i="1"/>
  <c r="Q49" i="1"/>
  <c r="Q43" i="1"/>
  <c r="Q40" i="1"/>
  <c r="Q31" i="1"/>
  <c r="Q28" i="1"/>
  <c r="Q25" i="1"/>
  <c r="C15" i="1" l="1"/>
  <c r="C16" i="1"/>
  <c r="C17" i="1"/>
  <c r="C18" i="1"/>
  <c r="C19" i="1"/>
  <c r="C20" i="1"/>
  <c r="C21" i="1"/>
  <c r="H4" i="12" l="1"/>
  <c r="E4" i="12"/>
  <c r="H20" i="1"/>
  <c r="H10" i="12" s="1"/>
  <c r="E10" i="12"/>
  <c r="H18" i="1"/>
  <c r="H8" i="12" s="1"/>
  <c r="E8" i="12"/>
  <c r="H16" i="1"/>
  <c r="H6" i="12" s="1"/>
  <c r="E6" i="12"/>
  <c r="H21" i="1"/>
  <c r="H11" i="12" s="1"/>
  <c r="E11" i="12"/>
  <c r="H19" i="1"/>
  <c r="H9" i="12" s="1"/>
  <c r="E9" i="12"/>
  <c r="H17" i="1"/>
  <c r="H7" i="12" s="1"/>
  <c r="E7" i="12"/>
  <c r="H15" i="1"/>
  <c r="H5" i="12" s="1"/>
  <c r="E5" i="12"/>
  <c r="D21" i="1"/>
  <c r="F11" i="12" s="1"/>
  <c r="D19" i="1"/>
  <c r="F9" i="12" s="1"/>
  <c r="D17" i="1"/>
  <c r="F7" i="12" s="1"/>
  <c r="D15" i="1"/>
  <c r="F5" i="12" s="1"/>
  <c r="F21" i="1"/>
  <c r="I11" i="12" s="1"/>
  <c r="F19" i="1"/>
  <c r="I9" i="12" s="1"/>
  <c r="F17" i="1"/>
  <c r="I7" i="12" s="1"/>
  <c r="F15" i="1"/>
  <c r="I5" i="12" s="1"/>
  <c r="G21" i="1"/>
  <c r="G19" i="1"/>
  <c r="G17" i="1"/>
  <c r="G15" i="1"/>
  <c r="F4" i="12"/>
  <c r="D20" i="1"/>
  <c r="F10" i="12" s="1"/>
  <c r="D18" i="1"/>
  <c r="F8" i="12" s="1"/>
  <c r="D16" i="1"/>
  <c r="F6" i="12" s="1"/>
  <c r="I4" i="12"/>
  <c r="F20" i="1"/>
  <c r="I10" i="12" s="1"/>
  <c r="F18" i="1"/>
  <c r="I8" i="12" s="1"/>
  <c r="F16" i="1"/>
  <c r="I6" i="12" s="1"/>
  <c r="G20" i="1"/>
  <c r="G18" i="1"/>
  <c r="G16" i="1"/>
  <c r="I18" i="1" l="1"/>
  <c r="I17" i="1"/>
  <c r="I21" i="1"/>
  <c r="J21" i="1" s="1"/>
  <c r="K21" i="1" s="1"/>
  <c r="I16" i="1"/>
  <c r="I20" i="1"/>
  <c r="I15" i="1"/>
  <c r="I19" i="1"/>
  <c r="P65" i="1" l="1"/>
  <c r="D27" i="9"/>
  <c r="F27" i="9" s="1"/>
  <c r="I27" i="9" s="1"/>
  <c r="J27" i="9" s="1"/>
  <c r="K27" i="9" s="1"/>
  <c r="L27" i="9" s="1"/>
  <c r="M27" i="9" s="1"/>
  <c r="D19" i="9"/>
  <c r="D11" i="9"/>
  <c r="F11" i="9" s="1"/>
  <c r="I11" i="9" s="1"/>
  <c r="J11" i="9" s="1"/>
  <c r="K11" i="9" s="1"/>
  <c r="L11" i="9" s="1"/>
  <c r="M11" i="9" s="1"/>
  <c r="J19" i="1"/>
  <c r="J9" i="12"/>
  <c r="J20" i="1"/>
  <c r="J10" i="12"/>
  <c r="J11" i="12"/>
  <c r="J4" i="12"/>
  <c r="J15" i="1"/>
  <c r="J5" i="12"/>
  <c r="J16" i="1"/>
  <c r="J6" i="12"/>
  <c r="J17" i="1"/>
  <c r="J7" i="12"/>
  <c r="J18" i="1"/>
  <c r="J8" i="12"/>
  <c r="K18" i="1" l="1"/>
  <c r="K8" i="12"/>
  <c r="K17" i="1"/>
  <c r="K7" i="12"/>
  <c r="K16" i="1"/>
  <c r="K6" i="12"/>
  <c r="K15" i="1"/>
  <c r="K5" i="12"/>
  <c r="K4" i="12"/>
  <c r="K11" i="12"/>
  <c r="K20" i="1"/>
  <c r="K10" i="12"/>
  <c r="K19" i="1"/>
  <c r="K9" i="12"/>
  <c r="D25" i="9" l="1"/>
  <c r="F25" i="9" s="1"/>
  <c r="I25" i="9" s="1"/>
  <c r="J25" i="9" s="1"/>
  <c r="K25" i="9" s="1"/>
  <c r="L25" i="9" s="1"/>
  <c r="M25" i="9" s="1"/>
  <c r="D17" i="9"/>
  <c r="F17" i="9" s="1"/>
  <c r="I17" i="9" s="1"/>
  <c r="J17" i="9" s="1"/>
  <c r="K17" i="9" s="1"/>
  <c r="L17" i="9" s="1"/>
  <c r="M17" i="9" s="1"/>
  <c r="D9" i="9"/>
  <c r="D26" i="9"/>
  <c r="F26" i="9" s="1"/>
  <c r="I26" i="9" s="1"/>
  <c r="J26" i="9" s="1"/>
  <c r="K26" i="9" s="1"/>
  <c r="L26" i="9" s="1"/>
  <c r="M26" i="9" s="1"/>
  <c r="D18" i="9"/>
  <c r="D10" i="9"/>
  <c r="F10" i="9" s="1"/>
  <c r="I10" i="9" s="1"/>
  <c r="J10" i="9" s="1"/>
  <c r="K10" i="9" s="1"/>
  <c r="L10" i="9" s="1"/>
  <c r="M10" i="9" s="1"/>
  <c r="D21" i="9"/>
  <c r="F21" i="9" s="1"/>
  <c r="I21" i="9" s="1"/>
  <c r="J21" i="9" s="1"/>
  <c r="K21" i="9" s="1"/>
  <c r="L21" i="9" s="1"/>
  <c r="M21" i="9" s="1"/>
  <c r="D13" i="9"/>
  <c r="F13" i="9" s="1"/>
  <c r="I13" i="9" s="1"/>
  <c r="J13" i="9" s="1"/>
  <c r="K13" i="9" s="1"/>
  <c r="L13" i="9" s="1"/>
  <c r="M13" i="9" s="1"/>
  <c r="D5" i="9"/>
  <c r="D22" i="9"/>
  <c r="F22" i="9" s="1"/>
  <c r="I22" i="9" s="1"/>
  <c r="J22" i="9" s="1"/>
  <c r="K22" i="9" s="1"/>
  <c r="L22" i="9" s="1"/>
  <c r="M22" i="9" s="1"/>
  <c r="D14" i="9"/>
  <c r="D6" i="9"/>
  <c r="F6" i="9" s="1"/>
  <c r="I6" i="9" s="1"/>
  <c r="J6" i="9" s="1"/>
  <c r="K6" i="9" s="1"/>
  <c r="L6" i="9" s="1"/>
  <c r="M6" i="9" s="1"/>
  <c r="D23" i="9"/>
  <c r="F23" i="9" s="1"/>
  <c r="I23" i="9" s="1"/>
  <c r="J23" i="9" s="1"/>
  <c r="K23" i="9" s="1"/>
  <c r="L23" i="9" s="1"/>
  <c r="M23" i="9" s="1"/>
  <c r="D15" i="9"/>
  <c r="F15" i="9" s="1"/>
  <c r="I15" i="9" s="1"/>
  <c r="J15" i="9" s="1"/>
  <c r="K15" i="9" s="1"/>
  <c r="L15" i="9" s="1"/>
  <c r="M15" i="9" s="1"/>
  <c r="D7" i="9"/>
  <c r="F7" i="9" s="1"/>
  <c r="I7" i="9" s="1"/>
  <c r="J7" i="9" s="1"/>
  <c r="K7" i="9" s="1"/>
  <c r="L7" i="9" s="1"/>
  <c r="M7" i="9" s="1"/>
  <c r="D24" i="9"/>
  <c r="F24" i="9" s="1"/>
  <c r="I24" i="9" s="1"/>
  <c r="J24" i="9" s="1"/>
  <c r="K24" i="9" s="1"/>
  <c r="L24" i="9" s="1"/>
  <c r="M24" i="9" s="1"/>
  <c r="D16" i="9"/>
  <c r="D8" i="9"/>
  <c r="F8" i="9" s="1"/>
  <c r="I8" i="9" s="1"/>
  <c r="J8" i="9" s="1"/>
  <c r="K8" i="9" s="1"/>
  <c r="L8" i="9" s="1"/>
  <c r="M8" i="9" s="1"/>
  <c r="P63" i="1"/>
  <c r="B7" i="6" s="1"/>
  <c r="L9" i="12"/>
  <c r="P64" i="1"/>
  <c r="B8" i="6" s="1"/>
  <c r="L10" i="12"/>
  <c r="B9" i="6"/>
  <c r="L11" i="12"/>
  <c r="B2" i="6"/>
  <c r="L4" i="12"/>
  <c r="P59" i="1"/>
  <c r="B3" i="6" s="1"/>
  <c r="L5" i="12"/>
  <c r="P60" i="1"/>
  <c r="B4" i="6" s="1"/>
  <c r="L6" i="12"/>
  <c r="P61" i="1"/>
  <c r="B5" i="6" s="1"/>
  <c r="L7" i="12"/>
  <c r="P62" i="1"/>
  <c r="B6" i="6" s="1"/>
  <c r="L8" i="12"/>
  <c r="F12" i="9"/>
  <c r="I12" i="9" s="1"/>
  <c r="J12" i="9" s="1"/>
  <c r="K12" i="9" s="1"/>
  <c r="L12" i="9" s="1"/>
  <c r="M12" i="9" s="1"/>
  <c r="F4" i="9"/>
  <c r="F14" i="9"/>
  <c r="I14" i="9" s="1"/>
  <c r="J14" i="9" s="1"/>
  <c r="K14" i="9" s="1"/>
  <c r="L14" i="9" s="1"/>
  <c r="M14" i="9" s="1"/>
  <c r="F19" i="9"/>
  <c r="I19" i="9" s="1"/>
  <c r="J19" i="9" s="1"/>
  <c r="K19" i="9" s="1"/>
  <c r="L19" i="9" s="1"/>
  <c r="M19" i="9" s="1"/>
  <c r="F16" i="9"/>
  <c r="I16" i="9" s="1"/>
  <c r="J16" i="9" s="1"/>
  <c r="K16" i="9" s="1"/>
  <c r="L16" i="9" s="1"/>
  <c r="M16" i="9" s="1"/>
  <c r="F5" i="9"/>
  <c r="I5" i="9" s="1"/>
  <c r="J5" i="9" s="1"/>
  <c r="K5" i="9" s="1"/>
  <c r="L5" i="9" s="1"/>
  <c r="M5" i="9" s="1"/>
  <c r="I4" i="9" l="1"/>
  <c r="J4" i="9" s="1"/>
  <c r="K4" i="9" s="1"/>
  <c r="L4" i="9" s="1"/>
  <c r="M4" i="9" s="1"/>
  <c r="F18" i="9"/>
  <c r="I18" i="9" s="1"/>
  <c r="J18" i="9" s="1"/>
  <c r="K18" i="9" s="1"/>
  <c r="L18" i="9" s="1"/>
  <c r="M18" i="9" s="1"/>
  <c r="F9" i="9"/>
  <c r="I9" i="9" s="1"/>
  <c r="J9" i="9" s="1"/>
  <c r="K9" i="9" s="1"/>
  <c r="L9" i="9" s="1"/>
  <c r="M9" i="9" s="1"/>
</calcChain>
</file>

<file path=xl/sharedStrings.xml><?xml version="1.0" encoding="utf-8"?>
<sst xmlns="http://schemas.openxmlformats.org/spreadsheetml/2006/main" count="297" uniqueCount="199">
  <si>
    <t>w (рад/с)</t>
  </si>
  <si>
    <t>М (Нм)</t>
  </si>
  <si>
    <t>N (кВт)</t>
  </si>
  <si>
    <r>
      <t>ω</t>
    </r>
    <r>
      <rPr>
        <b/>
        <vertAlign val="subscript"/>
        <sz val="12"/>
        <color theme="1"/>
        <rFont val="Times New Roman"/>
        <family val="1"/>
        <charset val="204"/>
      </rPr>
      <t>д</t>
    </r>
    <r>
      <rPr>
        <b/>
        <sz val="12"/>
        <color theme="1"/>
        <rFont val="Times New Roman"/>
        <family val="1"/>
        <charset val="204"/>
      </rPr>
      <t xml:space="preserve">   </t>
    </r>
  </si>
  <si>
    <r>
      <t xml:space="preserve">  N</t>
    </r>
    <r>
      <rPr>
        <b/>
        <vertAlign val="subscript"/>
        <sz val="12"/>
        <color theme="1"/>
        <rFont val="Times New Roman"/>
        <family val="1"/>
        <charset val="204"/>
      </rPr>
      <t xml:space="preserve">е </t>
    </r>
    <r>
      <rPr>
        <b/>
        <sz val="12"/>
        <color theme="1"/>
        <rFont val="Times New Roman"/>
        <family val="1"/>
        <charset val="204"/>
      </rPr>
      <t xml:space="preserve">       </t>
    </r>
  </si>
  <si>
    <r>
      <t>ω</t>
    </r>
    <r>
      <rPr>
        <b/>
        <vertAlign val="subscript"/>
        <sz val="12"/>
        <color theme="1"/>
        <rFont val="Times New Roman"/>
        <family val="1"/>
        <charset val="204"/>
      </rPr>
      <t>д</t>
    </r>
    <r>
      <rPr>
        <b/>
        <sz val="12"/>
        <color theme="1"/>
        <rFont val="Times New Roman"/>
        <family val="1"/>
        <charset val="204"/>
      </rPr>
      <t>/ ω</t>
    </r>
    <r>
      <rPr>
        <b/>
        <vertAlign val="subscript"/>
        <sz val="12"/>
        <color theme="1"/>
        <rFont val="Times New Roman"/>
        <family val="1"/>
        <charset val="204"/>
      </rPr>
      <t xml:space="preserve">N </t>
    </r>
    <r>
      <rPr>
        <b/>
        <sz val="12"/>
        <color theme="1"/>
        <rFont val="Times New Roman"/>
        <family val="1"/>
        <charset val="204"/>
      </rPr>
      <t xml:space="preserve">     </t>
    </r>
  </si>
  <si>
    <r>
      <t>N</t>
    </r>
    <r>
      <rPr>
        <b/>
        <vertAlign val="subscript"/>
        <sz val="12"/>
        <color theme="1"/>
        <rFont val="Times New Roman"/>
        <family val="1"/>
        <charset val="204"/>
      </rPr>
      <t xml:space="preserve">во  </t>
    </r>
  </si>
  <si>
    <r>
      <t>N</t>
    </r>
    <r>
      <rPr>
        <b/>
        <vertAlign val="subscript"/>
        <sz val="12"/>
        <color theme="1"/>
        <rFont val="Times New Roman"/>
        <family val="1"/>
        <charset val="204"/>
      </rPr>
      <t>ген</t>
    </r>
  </si>
  <si>
    <r>
      <t>N</t>
    </r>
    <r>
      <rPr>
        <b/>
        <vertAlign val="subscript"/>
        <sz val="12"/>
        <color theme="1"/>
        <rFont val="Times New Roman"/>
        <family val="1"/>
        <charset val="204"/>
      </rPr>
      <t>н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</si>
  <si>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   </t>
    </r>
    <r>
      <rPr>
        <b/>
        <sz val="12"/>
        <color theme="1"/>
        <rFont val="Times New Roman"/>
        <family val="1"/>
        <charset val="204"/>
      </rPr>
      <t>N</t>
    </r>
    <r>
      <rPr>
        <b/>
        <vertAlign val="subscript"/>
        <sz val="12"/>
        <color theme="1"/>
        <rFont val="Times New Roman"/>
        <family val="1"/>
        <charset val="204"/>
      </rPr>
      <t xml:space="preserve">вент </t>
    </r>
    <r>
      <rPr>
        <b/>
        <sz val="12"/>
        <color theme="1"/>
        <rFont val="Times New Roman"/>
        <family val="1"/>
        <charset val="204"/>
      </rPr>
      <t xml:space="preserve">    </t>
    </r>
  </si>
  <si>
    <r>
      <t>N</t>
    </r>
    <r>
      <rPr>
        <b/>
        <vertAlign val="subscript"/>
        <sz val="12"/>
        <color theme="1"/>
        <rFont val="Times New Roman"/>
        <family val="1"/>
        <charset val="204"/>
      </rPr>
      <t>глуш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</si>
  <si>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>N</t>
    </r>
    <r>
      <rPr>
        <b/>
        <vertAlign val="subscript"/>
        <sz val="12"/>
        <color theme="1"/>
        <rFont val="Times New Roman"/>
        <family val="1"/>
        <charset val="204"/>
      </rPr>
      <t xml:space="preserve">му </t>
    </r>
    <r>
      <rPr>
        <b/>
        <sz val="12"/>
        <color theme="1"/>
        <rFont val="Times New Roman"/>
        <family val="1"/>
        <charset val="204"/>
      </rPr>
      <t xml:space="preserve">   </t>
    </r>
  </si>
  <si>
    <r>
      <t>N</t>
    </r>
    <r>
      <rPr>
        <b/>
        <vertAlign val="subscript"/>
        <sz val="12"/>
        <color theme="1"/>
        <rFont val="Times New Roman"/>
        <family val="1"/>
        <charset val="204"/>
      </rPr>
      <t>д</t>
    </r>
  </si>
  <si>
    <r>
      <t xml:space="preserve">   M</t>
    </r>
    <r>
      <rPr>
        <b/>
        <vertAlign val="subscript"/>
        <sz val="12"/>
        <color theme="1"/>
        <rFont val="Times New Roman"/>
        <family val="1"/>
        <charset val="204"/>
      </rPr>
      <t xml:space="preserve">д </t>
    </r>
    <r>
      <rPr>
        <b/>
        <sz val="12"/>
        <color theme="1"/>
        <rFont val="Times New Roman"/>
        <family val="1"/>
        <charset val="204"/>
      </rPr>
      <t xml:space="preserve">  </t>
    </r>
  </si>
  <si>
    <t>рад/сек</t>
  </si>
  <si>
    <t>кВт</t>
  </si>
  <si>
    <t>-</t>
  </si>
  <si>
    <t>Н*м</t>
  </si>
  <si>
    <t>Тип ГТ</t>
  </si>
  <si>
    <t>Пара</t>
  </si>
  <si>
    <t>метр</t>
  </si>
  <si>
    <r>
      <t xml:space="preserve">Передаточное отношение трансформатора 1 / </t>
    </r>
    <r>
      <rPr>
        <i/>
        <sz val="11"/>
        <color theme="1"/>
        <rFont val="Times New Roman"/>
        <family val="1"/>
        <charset val="204"/>
      </rPr>
      <t xml:space="preserve">i </t>
    </r>
    <r>
      <rPr>
        <vertAlign val="subscript"/>
        <sz val="11"/>
        <color theme="1"/>
        <rFont val="Times New Roman"/>
        <family val="1"/>
        <charset val="204"/>
      </rPr>
      <t>г</t>
    </r>
  </si>
  <si>
    <t>0.9</t>
  </si>
  <si>
    <t>0.95</t>
  </si>
  <si>
    <t>ГТК-X</t>
  </si>
  <si>
    <r>
      <t>К</t>
    </r>
    <r>
      <rPr>
        <vertAlign val="subscript"/>
        <sz val="11"/>
        <color theme="1"/>
        <rFont val="Times New Roman"/>
        <family val="1"/>
        <charset val="204"/>
      </rPr>
      <t>Т</t>
    </r>
  </si>
  <si>
    <t>ГТК-VII</t>
  </si>
  <si>
    <t>ГТК-XI</t>
  </si>
  <si>
    <t>ГТК-XII</t>
  </si>
  <si>
    <t>ГТК-IX</t>
  </si>
  <si>
    <t>ГТК-III</t>
  </si>
  <si>
    <t>ГТК-II</t>
  </si>
  <si>
    <t>Зил-111</t>
  </si>
  <si>
    <t>М-21</t>
  </si>
  <si>
    <r>
      <t>rl</t>
    </r>
    <r>
      <rPr>
        <vertAlign val="subscript"/>
        <sz val="12"/>
        <color theme="1"/>
        <rFont val="Times New Roman"/>
        <family val="1"/>
        <charset val="204"/>
      </rPr>
      <t>Н</t>
    </r>
  </si>
  <si>
    <r>
      <t>h</t>
    </r>
    <r>
      <rPr>
        <i/>
        <vertAlign val="subscript"/>
        <sz val="12"/>
        <color theme="1"/>
        <rFont val="Times New Roman"/>
        <family val="1"/>
        <charset val="204"/>
      </rPr>
      <t>Г</t>
    </r>
  </si>
  <si>
    <t>П</t>
  </si>
  <si>
    <r>
      <t xml:space="preserve">   M</t>
    </r>
    <r>
      <rPr>
        <b/>
        <vertAlign val="subscript"/>
        <sz val="10"/>
        <color theme="1"/>
        <rFont val="Times New Roman"/>
        <family val="1"/>
        <charset val="204"/>
      </rPr>
      <t xml:space="preserve">д </t>
    </r>
    <r>
      <rPr>
        <b/>
        <sz val="10"/>
        <color theme="1"/>
        <rFont val="Times New Roman"/>
        <family val="1"/>
        <charset val="204"/>
      </rPr>
      <t xml:space="preserve">  </t>
    </r>
  </si>
  <si>
    <r>
      <t>ω</t>
    </r>
    <r>
      <rPr>
        <vertAlign val="subscript"/>
        <sz val="10"/>
        <color theme="1"/>
        <rFont val="Times New Roman"/>
        <family val="1"/>
        <charset val="204"/>
      </rPr>
      <t>Дi</t>
    </r>
  </si>
  <si>
    <t xml:space="preserve"> рад/с</t>
  </si>
  <si>
    <r>
      <t>M</t>
    </r>
    <r>
      <rPr>
        <vertAlign val="subscript"/>
        <sz val="10"/>
        <color theme="1"/>
        <rFont val="Times New Roman"/>
        <family val="1"/>
        <charset val="204"/>
      </rPr>
      <t>Н0</t>
    </r>
  </si>
  <si>
    <r>
      <t>ρλ</t>
    </r>
    <r>
      <rPr>
        <vertAlign val="subscript"/>
        <sz val="10"/>
        <color theme="1"/>
        <rFont val="Times New Roman"/>
        <family val="1"/>
        <charset val="204"/>
      </rPr>
      <t>H0</t>
    </r>
  </si>
  <si>
    <t xml:space="preserve"> кг/м3</t>
  </si>
  <si>
    <r>
      <t>M</t>
    </r>
    <r>
      <rPr>
        <vertAlign val="subscript"/>
        <sz val="10"/>
        <color theme="1"/>
        <rFont val="Times New Roman"/>
        <family val="1"/>
        <charset val="204"/>
      </rPr>
      <t xml:space="preserve">Н30 </t>
    </r>
  </si>
  <si>
    <r>
      <t>ρλ</t>
    </r>
    <r>
      <rPr>
        <vertAlign val="subscript"/>
        <sz val="10"/>
        <color theme="1"/>
        <rFont val="Times New Roman"/>
        <family val="1"/>
        <charset val="204"/>
      </rPr>
      <t xml:space="preserve">H30 </t>
    </r>
    <r>
      <rPr>
        <sz val="10"/>
        <color theme="1"/>
        <rFont val="Times New Roman"/>
        <family val="1"/>
        <charset val="204"/>
      </rPr>
      <t/>
    </r>
  </si>
  <si>
    <t>кг/м3</t>
  </si>
  <si>
    <r>
      <t>M</t>
    </r>
    <r>
      <rPr>
        <vertAlign val="subscript"/>
        <sz val="10"/>
        <color theme="1"/>
        <rFont val="Times New Roman"/>
        <family val="1"/>
        <charset val="204"/>
      </rPr>
      <t>Н40</t>
    </r>
  </si>
  <si>
    <r>
      <t>ρλ</t>
    </r>
    <r>
      <rPr>
        <vertAlign val="subscript"/>
        <sz val="10"/>
        <color theme="1"/>
        <rFont val="Times New Roman"/>
        <family val="1"/>
        <charset val="204"/>
      </rPr>
      <t>H40</t>
    </r>
  </si>
  <si>
    <r>
      <t>M</t>
    </r>
    <r>
      <rPr>
        <vertAlign val="subscript"/>
        <sz val="10"/>
        <color theme="1"/>
        <rFont val="Times New Roman"/>
        <family val="1"/>
        <charset val="204"/>
      </rPr>
      <t>Нŋ</t>
    </r>
  </si>
  <si>
    <r>
      <t>ρλ</t>
    </r>
    <r>
      <rPr>
        <vertAlign val="subscript"/>
        <sz val="10"/>
        <color theme="1"/>
        <rFont val="Times New Roman"/>
        <family val="1"/>
        <charset val="204"/>
      </rPr>
      <t>Hŋ</t>
    </r>
    <r>
      <rPr>
        <sz val="10"/>
        <color theme="1"/>
        <rFont val="Times New Roman"/>
        <family val="1"/>
        <charset val="204"/>
      </rPr>
      <t/>
    </r>
  </si>
  <si>
    <r>
      <t>M</t>
    </r>
    <r>
      <rPr>
        <vertAlign val="subscript"/>
        <sz val="10"/>
        <color theme="1"/>
        <rFont val="Times New Roman"/>
        <family val="1"/>
        <charset val="204"/>
      </rPr>
      <t>нmax</t>
    </r>
  </si>
  <si>
    <r>
      <t>ρλ</t>
    </r>
    <r>
      <rPr>
        <vertAlign val="subscript"/>
        <sz val="10"/>
        <color theme="1"/>
        <rFont val="Times New Roman"/>
        <family val="1"/>
        <charset val="204"/>
      </rPr>
      <t>Hmax</t>
    </r>
    <r>
      <rPr>
        <sz val="10"/>
        <color theme="1"/>
        <rFont val="Times New Roman"/>
        <family val="1"/>
        <charset val="204"/>
      </rPr>
      <t/>
    </r>
  </si>
  <si>
    <r>
      <t>M</t>
    </r>
    <r>
      <rPr>
        <vertAlign val="subscript"/>
        <sz val="10"/>
        <color theme="1"/>
        <rFont val="Times New Roman"/>
        <family val="1"/>
        <charset val="204"/>
      </rPr>
      <t>НC</t>
    </r>
  </si>
  <si>
    <t xml:space="preserve"> Н*м</t>
  </si>
  <si>
    <r>
      <t>ρλ</t>
    </r>
    <r>
      <rPr>
        <vertAlign val="subscript"/>
        <sz val="10"/>
        <color theme="1"/>
        <rFont val="Times New Roman"/>
        <family val="1"/>
        <charset val="204"/>
      </rPr>
      <t>HC</t>
    </r>
    <r>
      <rPr>
        <sz val="10"/>
        <color theme="1"/>
        <rFont val="Times New Roman"/>
        <family val="1"/>
        <charset val="204"/>
      </rPr>
      <t/>
    </r>
  </si>
  <si>
    <r>
      <t>M</t>
    </r>
    <r>
      <rPr>
        <vertAlign val="subscript"/>
        <sz val="10"/>
        <color theme="1"/>
        <rFont val="Times New Roman"/>
        <family val="1"/>
        <charset val="204"/>
      </rPr>
      <t>Н95</t>
    </r>
  </si>
  <si>
    <r>
      <t>ρλ</t>
    </r>
    <r>
      <rPr>
        <vertAlign val="subscript"/>
        <sz val="10"/>
        <color theme="1"/>
        <rFont val="Times New Roman"/>
        <family val="1"/>
        <charset val="204"/>
      </rPr>
      <t>H95</t>
    </r>
    <r>
      <rPr>
        <sz val="10"/>
        <color theme="1"/>
        <rFont val="Times New Roman"/>
        <family val="1"/>
        <charset val="204"/>
      </rPr>
      <t/>
    </r>
  </si>
  <si>
    <t>Da=</t>
  </si>
  <si>
    <t>м</t>
  </si>
  <si>
    <t>Параметры</t>
  </si>
  <si>
    <t>Расчетные значения 1/Iг</t>
  </si>
  <si>
    <r>
      <t>ρλ</t>
    </r>
    <r>
      <rPr>
        <vertAlign val="subscript"/>
        <sz val="10"/>
        <color theme="1"/>
        <rFont val="Times New Roman"/>
        <family val="1"/>
        <charset val="204"/>
      </rPr>
      <t>Hj</t>
    </r>
    <r>
      <rPr>
        <sz val="10"/>
        <color theme="1"/>
        <rFont val="Times New Roman"/>
        <family val="1"/>
        <charset val="204"/>
      </rPr>
      <t>, кг/м</t>
    </r>
    <r>
      <rPr>
        <vertAlign val="superscript"/>
        <sz val="10"/>
        <color theme="1"/>
        <rFont val="Times New Roman"/>
        <family val="1"/>
        <charset val="204"/>
      </rPr>
      <t>3</t>
    </r>
  </si>
  <si>
    <r>
      <t>M</t>
    </r>
    <r>
      <rPr>
        <vertAlign val="subscript"/>
        <sz val="10"/>
        <color theme="1"/>
        <rFont val="Times New Roman"/>
        <family val="1"/>
        <charset val="204"/>
      </rPr>
      <t>Дj</t>
    </r>
    <r>
      <rPr>
        <sz val="10"/>
        <color theme="1"/>
        <rFont val="Times New Roman"/>
        <family val="1"/>
        <charset val="204"/>
      </rPr>
      <t>, Н*м</t>
    </r>
  </si>
  <si>
    <r>
      <t>ω</t>
    </r>
    <r>
      <rPr>
        <vertAlign val="subscript"/>
        <sz val="10"/>
        <color theme="1"/>
        <rFont val="Times New Roman"/>
        <family val="1"/>
        <charset val="204"/>
      </rPr>
      <t>Дj</t>
    </r>
    <r>
      <rPr>
        <sz val="10"/>
        <color theme="1"/>
        <rFont val="Times New Roman"/>
        <family val="1"/>
        <charset val="204"/>
      </rPr>
      <t>, рад/с</t>
    </r>
  </si>
  <si>
    <r>
      <t>К</t>
    </r>
    <r>
      <rPr>
        <vertAlign val="subscript"/>
        <sz val="10"/>
        <color theme="1"/>
        <rFont val="Times New Roman"/>
        <family val="1"/>
        <charset val="204"/>
      </rPr>
      <t>Тj</t>
    </r>
  </si>
  <si>
    <r>
      <t>η</t>
    </r>
    <r>
      <rPr>
        <vertAlign val="subscript"/>
        <sz val="10"/>
        <color theme="1"/>
        <rFont val="Times New Roman"/>
        <family val="1"/>
        <charset val="204"/>
      </rPr>
      <t>Гj</t>
    </r>
  </si>
  <si>
    <r>
      <t>ω</t>
    </r>
    <r>
      <rPr>
        <vertAlign val="subscript"/>
        <sz val="10"/>
        <color theme="1"/>
        <rFont val="Times New Roman"/>
        <family val="1"/>
        <charset val="204"/>
      </rPr>
      <t>Нj</t>
    </r>
    <r>
      <rPr>
        <sz val="10"/>
        <color theme="1"/>
        <rFont val="Times New Roman"/>
        <family val="1"/>
        <charset val="204"/>
      </rPr>
      <t>, рад/с</t>
    </r>
  </si>
  <si>
    <r>
      <t>ω</t>
    </r>
    <r>
      <rPr>
        <vertAlign val="subscript"/>
        <sz val="10"/>
        <color theme="1"/>
        <rFont val="Times New Roman"/>
        <family val="1"/>
        <charset val="204"/>
      </rPr>
      <t>Тj</t>
    </r>
    <r>
      <rPr>
        <sz val="10"/>
        <color theme="1"/>
        <rFont val="Times New Roman"/>
        <family val="1"/>
        <charset val="204"/>
      </rPr>
      <t xml:space="preserve"> рад/с</t>
    </r>
  </si>
  <si>
    <r>
      <t>M</t>
    </r>
    <r>
      <rPr>
        <vertAlign val="subscript"/>
        <sz val="10"/>
        <color theme="1"/>
        <rFont val="Times New Roman"/>
        <family val="1"/>
        <charset val="204"/>
      </rPr>
      <t>Нj</t>
    </r>
    <r>
      <rPr>
        <sz val="10"/>
        <color theme="1"/>
        <rFont val="Times New Roman"/>
        <family val="1"/>
        <charset val="204"/>
      </rPr>
      <t>, Н*м</t>
    </r>
  </si>
  <si>
    <r>
      <t>M</t>
    </r>
    <r>
      <rPr>
        <vertAlign val="subscript"/>
        <sz val="10"/>
        <color theme="1"/>
        <rFont val="Times New Roman"/>
        <family val="1"/>
        <charset val="204"/>
      </rPr>
      <t>Тj</t>
    </r>
    <r>
      <rPr>
        <sz val="10"/>
        <color theme="1"/>
        <rFont val="Times New Roman"/>
        <family val="1"/>
        <charset val="204"/>
      </rPr>
      <t>, Н*м</t>
    </r>
  </si>
  <si>
    <t>Ne, кВт</t>
  </si>
  <si>
    <t>ωд/ωN</t>
  </si>
  <si>
    <t>Nво, кВт</t>
  </si>
  <si>
    <t>Nгл, кВт</t>
  </si>
  <si>
    <t>Nму, кВт</t>
  </si>
  <si>
    <t>Nд, кВт</t>
  </si>
  <si>
    <t>Параметр</t>
  </si>
  <si>
    <t>Кт</t>
  </si>
  <si>
    <t>Da</t>
  </si>
  <si>
    <t>iгп</t>
  </si>
  <si>
    <t>ωд, рад/с</t>
  </si>
  <si>
    <t>iмех1</t>
  </si>
  <si>
    <t>iкп1</t>
  </si>
  <si>
    <t>№ передачи</t>
  </si>
  <si>
    <t>iтр2</t>
  </si>
  <si>
    <t>V, м/с</t>
  </si>
  <si>
    <t>iмех2</t>
  </si>
  <si>
    <t>Pк, Н</t>
  </si>
  <si>
    <t>iмех3</t>
  </si>
  <si>
    <t>iтр3</t>
  </si>
  <si>
    <t>D</t>
  </si>
  <si>
    <t>iкп2</t>
  </si>
  <si>
    <t>iкп3</t>
  </si>
  <si>
    <t>iтр1</t>
  </si>
  <si>
    <t>j, м/с^2</t>
  </si>
  <si>
    <t>1/j, с^2/м</t>
  </si>
  <si>
    <t>Мт</t>
  </si>
  <si>
    <t>ηг</t>
  </si>
  <si>
    <t>ωт</t>
  </si>
  <si>
    <t>V1T1</t>
  </si>
  <si>
    <t>V1T2</t>
  </si>
  <si>
    <t>V1T3</t>
  </si>
  <si>
    <t>V1T4</t>
  </si>
  <si>
    <t>V1T5</t>
  </si>
  <si>
    <t>V1T6</t>
  </si>
  <si>
    <t>V2T1</t>
  </si>
  <si>
    <t>V2T2</t>
  </si>
  <si>
    <t>V2T3</t>
  </si>
  <si>
    <t>V2T4</t>
  </si>
  <si>
    <t>V2T5</t>
  </si>
  <si>
    <t>V2T6</t>
  </si>
  <si>
    <t>V3T1</t>
  </si>
  <si>
    <t>V3T2</t>
  </si>
  <si>
    <t>V3T3</t>
  </si>
  <si>
    <t>V3T4</t>
  </si>
  <si>
    <t>V3T5</t>
  </si>
  <si>
    <t>V3T6</t>
  </si>
  <si>
    <t>rk</t>
  </si>
  <si>
    <t>Мд, Н*м</t>
  </si>
  <si>
    <t>ρλн0</t>
  </si>
  <si>
    <t>Мн0</t>
  </si>
  <si>
    <t>Мн40</t>
  </si>
  <si>
    <r>
      <t>Мн</t>
    </r>
    <r>
      <rPr>
        <b/>
        <sz val="11"/>
        <color theme="1"/>
        <rFont val="Calibri"/>
        <family val="2"/>
        <charset val="204"/>
      </rPr>
      <t>η</t>
    </r>
  </si>
  <si>
    <t>Мнмакс</t>
  </si>
  <si>
    <t>Мнс</t>
  </si>
  <si>
    <t>Мн95</t>
  </si>
  <si>
    <t>Расчётные значения 1/iГj</t>
  </si>
  <si>
    <t>ρλн40</t>
  </si>
  <si>
    <t>1/iГ0</t>
  </si>
  <si>
    <t>1/iГ40</t>
  </si>
  <si>
    <t>1/iГh</t>
  </si>
  <si>
    <t>1/iГmax</t>
  </si>
  <si>
    <t>1/iГС</t>
  </si>
  <si>
    <t>1/iГ95</t>
  </si>
  <si>
    <t>ρλнη</t>
  </si>
  <si>
    <t>ρλHi, кг/м^3</t>
  </si>
  <si>
    <t>ρλнмакс</t>
  </si>
  <si>
    <t>Мдj, Н*м</t>
  </si>
  <si>
    <t>ρλнс</t>
  </si>
  <si>
    <t>ωдj, рад/с</t>
  </si>
  <si>
    <t>ρλн95</t>
  </si>
  <si>
    <t>KTj</t>
  </si>
  <si>
    <t>ηГj</t>
  </si>
  <si>
    <t>ωHj, рад/с</t>
  </si>
  <si>
    <t>ωTj, рад/с</t>
  </si>
  <si>
    <t>MHj, Н*м</t>
  </si>
  <si>
    <t>MTj, Н*м</t>
  </si>
  <si>
    <t>ηмех</t>
  </si>
  <si>
    <t>g</t>
  </si>
  <si>
    <t>м/с^2</t>
  </si>
  <si>
    <t>ψ</t>
  </si>
  <si>
    <t>Мд, Н*м/с</t>
  </si>
  <si>
    <t>Мт, Н*м/с</t>
  </si>
  <si>
    <r>
      <t>P</t>
    </r>
    <r>
      <rPr>
        <b/>
        <sz val="11"/>
        <color theme="1"/>
        <rFont val="Calibri"/>
        <family val="2"/>
        <charset val="204"/>
      </rPr>
      <t>ψ</t>
    </r>
    <r>
      <rPr>
        <b/>
        <sz val="11"/>
        <color theme="1"/>
        <rFont val="Calibri"/>
        <family val="2"/>
        <charset val="204"/>
        <scheme val="minor"/>
      </rPr>
      <t>, Н</t>
    </r>
  </si>
  <si>
    <t>Pw, Н</t>
  </si>
  <si>
    <r>
      <rPr>
        <b/>
        <sz val="11"/>
        <color theme="1"/>
        <rFont val="Calibri"/>
        <family val="2"/>
        <charset val="204"/>
      </rPr>
      <t>∆</t>
    </r>
    <r>
      <rPr>
        <b/>
        <sz val="11"/>
        <color theme="1"/>
        <rFont val="Calibri"/>
        <family val="2"/>
        <charset val="204"/>
        <scheme val="minor"/>
      </rPr>
      <t>tр, с</t>
    </r>
  </si>
  <si>
    <t>S, м</t>
  </si>
  <si>
    <t>Pψ+Pw</t>
  </si>
  <si>
    <t>ωт, рад/с</t>
  </si>
  <si>
    <t>Pk, Н</t>
  </si>
  <si>
    <t>D I</t>
  </si>
  <si>
    <t>δ1</t>
  </si>
  <si>
    <t>δ2</t>
  </si>
  <si>
    <r>
      <t>c</t>
    </r>
    <r>
      <rPr>
        <b/>
        <sz val="11"/>
        <color theme="1"/>
        <rFont val="Calibri"/>
        <family val="2"/>
        <charset val="204"/>
      </rPr>
      <t>ρF</t>
    </r>
  </si>
  <si>
    <t>δ3</t>
  </si>
  <si>
    <t>D II</t>
  </si>
  <si>
    <t>gma</t>
  </si>
  <si>
    <t>D III</t>
  </si>
  <si>
    <t>Тяговые и разгонные х-ки автомобиля</t>
  </si>
  <si>
    <t>Верхнее и нижнее ограничение тяговой силы колёс</t>
  </si>
  <si>
    <t>βϕ</t>
  </si>
  <si>
    <t>β</t>
  </si>
  <si>
    <t>ϕ</t>
  </si>
  <si>
    <t>rк</t>
  </si>
  <si>
    <t>ηтр макс</t>
  </si>
  <si>
    <t>ma</t>
  </si>
  <si>
    <t>кг</t>
  </si>
  <si>
    <t>c</t>
  </si>
  <si>
    <t>ρ</t>
  </si>
  <si>
    <t>кг/м^3</t>
  </si>
  <si>
    <t>F</t>
  </si>
  <si>
    <t>м^2</t>
  </si>
  <si>
    <t>B</t>
  </si>
  <si>
    <t>H</t>
  </si>
  <si>
    <t>Тип ГТК</t>
  </si>
  <si>
    <t>Передаточное отношение ГТК 1/iг</t>
  </si>
  <si>
    <t>ЗиЛ-111</t>
  </si>
  <si>
    <t>ρλн</t>
  </si>
  <si>
    <t>Me, Н*м</t>
  </si>
  <si>
    <t>Nген, кВт</t>
  </si>
  <si>
    <t>Nн,кВт</t>
  </si>
  <si>
    <t>Mд, Н*м</t>
  </si>
  <si>
    <t>Vo (м/с)</t>
  </si>
  <si>
    <t>S(t) (фи=0.7)</t>
  </si>
  <si>
    <t>S(t) (фи=0.4)</t>
  </si>
  <si>
    <t>S(t) (фи=0.2)</t>
  </si>
  <si>
    <t>Скорость при 1/Iг:</t>
  </si>
  <si>
    <t>V1T7</t>
  </si>
  <si>
    <t>V3T7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</si>
</sst>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vertAlign val="subscript"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theme="1"/>
      <name val="Symbol"/>
      <family val="1"/>
      <charset val="2"/>
    </font>
    <font>
      <vertAlign val="subscript"/>
      <sz val="12"/>
      <color theme="1"/>
      <name val="Times New Roman"/>
      <family val="1"/>
      <charset val="204"/>
    </font>
    <font>
      <i/>
      <sz val="12"/>
      <color theme="1"/>
      <name val="Symbol"/>
      <family val="1"/>
      <charset val="2"/>
    </font>
    <font>
      <i/>
      <vertAlign val="subscript"/>
      <sz val="12"/>
      <color theme="1"/>
      <name val="Times New Roman"/>
      <family val="1"/>
      <charset val="204"/>
    </font>
    <font>
      <vertAlign val="subscript"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vertAlign val="subscript"/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b/>
      <i/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6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3" borderId="11" xfId="0" applyFill="1" applyBorder="1"/>
    <xf numFmtId="0" fontId="0" fillId="3" borderId="0" xfId="0" applyFill="1" applyBorder="1"/>
    <xf numFmtId="0" fontId="0" fillId="3" borderId="12" xfId="0" applyFill="1" applyBorder="1"/>
    <xf numFmtId="0" fontId="0" fillId="0" borderId="8" xfId="0" applyBorder="1"/>
    <xf numFmtId="0" fontId="0" fillId="0" borderId="0" xfId="0" applyAlignment="1">
      <alignment horizontal="right"/>
    </xf>
    <xf numFmtId="2" fontId="6" fillId="0" borderId="17" xfId="0" applyNumberFormat="1" applyFont="1" applyBorder="1" applyAlignment="1">
      <alignment horizontal="center" vertical="center" wrapText="1"/>
    </xf>
    <xf numFmtId="2" fontId="0" fillId="2" borderId="0" xfId="0" applyNumberFormat="1" applyFill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center" vertical="center" wrapText="1"/>
    </xf>
    <xf numFmtId="2" fontId="6" fillId="4" borderId="7" xfId="0" applyNumberFormat="1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0" fillId="0" borderId="20" xfId="0" applyBorder="1"/>
    <xf numFmtId="2" fontId="6" fillId="2" borderId="7" xfId="0" applyNumberFormat="1" applyFont="1" applyFill="1" applyBorder="1" applyAlignment="1">
      <alignment horizontal="center" vertical="center" wrapText="1"/>
    </xf>
    <xf numFmtId="2" fontId="6" fillId="2" borderId="7" xfId="0" applyNumberFormat="1" applyFont="1" applyFill="1" applyBorder="1" applyAlignment="1">
      <alignment horizontal="right" vertical="center"/>
    </xf>
    <xf numFmtId="0" fontId="20" fillId="0" borderId="20" xfId="1" applyFont="1" applyBorder="1" applyAlignment="1">
      <alignment horizontal="center" vertical="center"/>
    </xf>
    <xf numFmtId="0" fontId="21" fillId="0" borderId="20" xfId="1" applyFont="1" applyBorder="1" applyAlignment="1">
      <alignment horizontal="center" vertical="center"/>
    </xf>
    <xf numFmtId="0" fontId="2" fillId="0" borderId="0" xfId="1"/>
    <xf numFmtId="164" fontId="2" fillId="0" borderId="20" xfId="1" applyNumberFormat="1" applyBorder="1" applyAlignment="1">
      <alignment horizontal="center" vertical="center"/>
    </xf>
    <xf numFmtId="0" fontId="2" fillId="0" borderId="20" xfId="1" applyBorder="1" applyAlignment="1">
      <alignment horizontal="center" vertical="center"/>
    </xf>
    <xf numFmtId="0" fontId="19" fillId="0" borderId="0" xfId="1" applyFont="1"/>
    <xf numFmtId="0" fontId="20" fillId="0" borderId="28" xfId="1" applyFont="1" applyBorder="1" applyAlignment="1">
      <alignment horizontal="center" vertical="center"/>
    </xf>
    <xf numFmtId="0" fontId="2" fillId="0" borderId="28" xfId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164" fontId="2" fillId="0" borderId="0" xfId="1" applyNumberForma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21" fillId="0" borderId="20" xfId="1" applyFont="1" applyBorder="1" applyAlignment="1">
      <alignment horizontal="center" vertical="center" shrinkToFit="1"/>
    </xf>
    <xf numFmtId="0" fontId="20" fillId="0" borderId="20" xfId="1" applyFont="1" applyBorder="1" applyAlignment="1">
      <alignment horizontal="center" vertical="center" shrinkToFit="1"/>
    </xf>
    <xf numFmtId="0" fontId="21" fillId="0" borderId="27" xfId="1" applyFont="1" applyBorder="1" applyAlignment="1">
      <alignment horizontal="center" vertical="center" shrinkToFit="1"/>
    </xf>
    <xf numFmtId="0" fontId="2" fillId="0" borderId="0" xfId="1" applyBorder="1" applyAlignment="1">
      <alignment vertical="center" wrapText="1"/>
    </xf>
    <xf numFmtId="0" fontId="2" fillId="0" borderId="0" xfId="1" applyAlignment="1">
      <alignment vertical="center" wrapText="1"/>
    </xf>
    <xf numFmtId="1" fontId="2" fillId="0" borderId="20" xfId="1" applyNumberFormat="1" applyBorder="1" applyAlignment="1">
      <alignment horizontal="center" vertical="center"/>
    </xf>
    <xf numFmtId="0" fontId="20" fillId="0" borderId="27" xfId="1" applyFont="1" applyBorder="1" applyAlignment="1">
      <alignment horizontal="center" vertical="center" shrinkToFit="1"/>
    </xf>
    <xf numFmtId="0" fontId="2" fillId="0" borderId="25" xfId="1" applyBorder="1" applyAlignment="1">
      <alignment horizontal="center" vertical="center" shrinkToFit="1"/>
    </xf>
    <xf numFmtId="0" fontId="2" fillId="0" borderId="28" xfId="1" applyBorder="1" applyAlignment="1">
      <alignment horizontal="center" vertical="center" shrinkToFit="1"/>
    </xf>
    <xf numFmtId="0" fontId="2" fillId="0" borderId="0" xfId="1" applyBorder="1" applyAlignment="1">
      <alignment horizontal="center" vertical="center" shrinkToFit="1"/>
    </xf>
    <xf numFmtId="0" fontId="22" fillId="0" borderId="28" xfId="1" applyFont="1" applyBorder="1" applyAlignment="1">
      <alignment vertical="center"/>
    </xf>
    <xf numFmtId="0" fontId="22" fillId="0" borderId="0" xfId="1" applyFont="1" applyBorder="1" applyAlignment="1">
      <alignment vertical="center"/>
    </xf>
    <xf numFmtId="0" fontId="23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" fillId="0" borderId="0" xfId="1" applyBorder="1" applyAlignment="1">
      <alignment vertical="center"/>
    </xf>
    <xf numFmtId="0" fontId="21" fillId="0" borderId="20" xfId="1" applyFont="1" applyBorder="1" applyAlignment="1">
      <alignment horizontal="right"/>
    </xf>
    <xf numFmtId="0" fontId="2" fillId="0" borderId="20" xfId="1" applyBorder="1"/>
    <xf numFmtId="0" fontId="20" fillId="0" borderId="28" xfId="1" applyFont="1" applyBorder="1" applyAlignment="1">
      <alignment vertical="center"/>
    </xf>
    <xf numFmtId="2" fontId="2" fillId="0" borderId="28" xfId="1" applyNumberFormat="1" applyBorder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20" fillId="0" borderId="25" xfId="1" applyFont="1" applyBorder="1" applyAlignment="1">
      <alignment horizontal="right" vertical="center"/>
    </xf>
    <xf numFmtId="2" fontId="2" fillId="0" borderId="0" xfId="1" applyNumberFormat="1" applyBorder="1" applyAlignment="1">
      <alignment horizontal="center" vertical="center"/>
    </xf>
    <xf numFmtId="0" fontId="25" fillId="0" borderId="0" xfId="1" applyFont="1" applyBorder="1" applyAlignment="1">
      <alignment horizontal="center" vertical="center"/>
    </xf>
    <xf numFmtId="165" fontId="2" fillId="0" borderId="20" xfId="1" applyNumberFormat="1" applyBorder="1" applyAlignment="1">
      <alignment horizontal="center" vertical="center"/>
    </xf>
    <xf numFmtId="2" fontId="2" fillId="0" borderId="20" xfId="1" applyNumberFormat="1" applyBorder="1" applyAlignment="1">
      <alignment horizontal="center" vertical="center"/>
    </xf>
    <xf numFmtId="0" fontId="2" fillId="0" borderId="28" xfId="1" applyBorder="1"/>
    <xf numFmtId="0" fontId="2" fillId="0" borderId="0" xfId="1" applyBorder="1"/>
    <xf numFmtId="0" fontId="19" fillId="0" borderId="28" xfId="1" applyFon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" fillId="2" borderId="20" xfId="1" applyFill="1" applyBorder="1" applyAlignment="1">
      <alignment horizontal="center" vertical="center"/>
    </xf>
    <xf numFmtId="0" fontId="20" fillId="0" borderId="20" xfId="1" applyFont="1" applyFill="1" applyBorder="1" applyAlignment="1">
      <alignment horizontal="right" vertical="center" wrapText="1"/>
    </xf>
    <xf numFmtId="2" fontId="20" fillId="0" borderId="20" xfId="1" applyNumberFormat="1" applyFont="1" applyBorder="1" applyAlignment="1">
      <alignment horizontal="center" vertical="center"/>
    </xf>
    <xf numFmtId="2" fontId="21" fillId="0" borderId="20" xfId="1" applyNumberFormat="1" applyFont="1" applyBorder="1" applyAlignment="1">
      <alignment horizontal="center" vertical="center"/>
    </xf>
    <xf numFmtId="2" fontId="21" fillId="0" borderId="0" xfId="1" applyNumberFormat="1" applyFont="1" applyFill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165" fontId="2" fillId="0" borderId="0" xfId="1" applyNumberFormat="1" applyBorder="1" applyAlignment="1">
      <alignment horizontal="center" vertical="center"/>
    </xf>
    <xf numFmtId="0" fontId="20" fillId="0" borderId="0" xfId="1" applyFont="1" applyAlignment="1">
      <alignment horizontal="right" wrapText="1"/>
    </xf>
    <xf numFmtId="0" fontId="20" fillId="0" borderId="0" xfId="1" applyFont="1" applyAlignment="1">
      <alignment wrapText="1"/>
    </xf>
    <xf numFmtId="0" fontId="20" fillId="0" borderId="22" xfId="1" applyFont="1" applyFill="1" applyBorder="1" applyAlignment="1">
      <alignment horizontal="right" vertical="center" wrapText="1"/>
    </xf>
    <xf numFmtId="0" fontId="2" fillId="0" borderId="23" xfId="1" applyBorder="1" applyAlignment="1">
      <alignment horizontal="center" vertical="center"/>
    </xf>
    <xf numFmtId="0" fontId="2" fillId="0" borderId="24" xfId="1" applyBorder="1"/>
    <xf numFmtId="0" fontId="20" fillId="0" borderId="22" xfId="1" applyFont="1" applyFill="1" applyBorder="1" applyAlignment="1">
      <alignment horizontal="right" vertical="center" shrinkToFit="1"/>
    </xf>
    <xf numFmtId="0" fontId="2" fillId="0" borderId="28" xfId="1" applyFont="1" applyFill="1" applyBorder="1" applyAlignment="1">
      <alignment horizontal="right" vertical="center"/>
    </xf>
    <xf numFmtId="165" fontId="2" fillId="0" borderId="0" xfId="1" applyNumberFormat="1"/>
    <xf numFmtId="0" fontId="19" fillId="0" borderId="20" xfId="1" applyFont="1" applyBorder="1" applyAlignment="1">
      <alignment horizontal="center" vertical="center"/>
    </xf>
    <xf numFmtId="0" fontId="27" fillId="0" borderId="20" xfId="1" applyFont="1" applyBorder="1" applyAlignment="1">
      <alignment horizontal="center" vertical="center"/>
    </xf>
    <xf numFmtId="0" fontId="27" fillId="0" borderId="20" xfId="1" applyFont="1" applyBorder="1" applyAlignment="1">
      <alignment horizontal="center" vertical="center" wrapText="1"/>
    </xf>
    <xf numFmtId="0" fontId="28" fillId="0" borderId="0" xfId="1" applyFont="1" applyAlignment="1">
      <alignment vertical="center"/>
    </xf>
    <xf numFmtId="2" fontId="2" fillId="0" borderId="0" xfId="1" applyNumberFormat="1"/>
    <xf numFmtId="2" fontId="2" fillId="0" borderId="20" xfId="1" applyNumberFormat="1" applyBorder="1" applyAlignment="1">
      <alignment horizontal="center" vertical="center" shrinkToFit="1"/>
    </xf>
    <xf numFmtId="1" fontId="2" fillId="0" borderId="20" xfId="1" applyNumberFormat="1" applyBorder="1" applyAlignment="1">
      <alignment horizontal="center" vertical="center" shrinkToFit="1"/>
    </xf>
    <xf numFmtId="2" fontId="2" fillId="0" borderId="20" xfId="1" applyNumberFormat="1" applyBorder="1" applyAlignment="1">
      <alignment vertical="center"/>
    </xf>
    <xf numFmtId="0" fontId="2" fillId="2" borderId="20" xfId="1" applyFill="1" applyBorder="1"/>
    <xf numFmtId="0" fontId="2" fillId="2" borderId="23" xfId="1" applyFill="1" applyBorder="1" applyAlignment="1">
      <alignment horizontal="center" vertical="center"/>
    </xf>
    <xf numFmtId="2" fontId="2" fillId="2" borderId="23" xfId="1" applyNumberFormat="1" applyFill="1" applyBorder="1" applyAlignment="1">
      <alignment horizontal="center" vertical="center"/>
    </xf>
    <xf numFmtId="0" fontId="2" fillId="2" borderId="0" xfId="1" applyFill="1" applyAlignment="1">
      <alignment horizontal="center" vertical="center"/>
    </xf>
    <xf numFmtId="2" fontId="6" fillId="6" borderId="19" xfId="0" applyNumberFormat="1" applyFont="1" applyFill="1" applyBorder="1" applyAlignment="1">
      <alignment horizontal="center" vertical="center" wrapText="1"/>
    </xf>
    <xf numFmtId="2" fontId="6" fillId="6" borderId="17" xfId="0" applyNumberFormat="1" applyFont="1" applyFill="1" applyBorder="1" applyAlignment="1">
      <alignment horizontal="center" vertical="center" wrapText="1"/>
    </xf>
    <xf numFmtId="0" fontId="23" fillId="0" borderId="20" xfId="1" applyFont="1" applyBorder="1" applyAlignment="1">
      <alignment horizontal="center" vertical="center"/>
    </xf>
    <xf numFmtId="0" fontId="20" fillId="0" borderId="2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7" fillId="3" borderId="2" xfId="0" applyNumberFormat="1" applyFont="1" applyFill="1" applyBorder="1" applyAlignment="1">
      <alignment horizontal="center" vertical="center"/>
    </xf>
    <xf numFmtId="2" fontId="10" fillId="3" borderId="2" xfId="0" applyNumberFormat="1" applyFont="1" applyFill="1" applyBorder="1" applyAlignment="1">
      <alignment horizontal="center" vertical="center"/>
    </xf>
    <xf numFmtId="2" fontId="7" fillId="3" borderId="8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2" fontId="7" fillId="3" borderId="7" xfId="0" applyNumberFormat="1" applyFont="1" applyFill="1" applyBorder="1" applyAlignment="1">
      <alignment horizontal="center" vertical="center"/>
    </xf>
    <xf numFmtId="2" fontId="7" fillId="3" borderId="12" xfId="0" applyNumberFormat="1" applyFon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/>
    </xf>
    <xf numFmtId="2" fontId="10" fillId="0" borderId="2" xfId="0" applyNumberFormat="1" applyFont="1" applyFill="1" applyBorder="1" applyAlignment="1">
      <alignment horizontal="center" vertical="center"/>
    </xf>
    <xf numFmtId="2" fontId="7" fillId="0" borderId="8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2" fontId="7" fillId="0" borderId="7" xfId="0" applyNumberFormat="1" applyFont="1" applyFill="1" applyBorder="1" applyAlignment="1">
      <alignment horizontal="center" vertical="center"/>
    </xf>
    <xf numFmtId="2" fontId="7" fillId="0" borderId="12" xfId="0" applyNumberFormat="1" applyFont="1" applyFill="1" applyBorder="1" applyAlignment="1">
      <alignment horizontal="center" vertical="center"/>
    </xf>
    <xf numFmtId="2" fontId="10" fillId="3" borderId="7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1" fontId="6" fillId="0" borderId="18" xfId="0" applyNumberFormat="1" applyFont="1" applyBorder="1" applyAlignment="1">
      <alignment horizontal="center" vertical="center" wrapText="1"/>
    </xf>
    <xf numFmtId="2" fontId="6" fillId="0" borderId="17" xfId="0" applyNumberFormat="1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0" fontId="20" fillId="0" borderId="20" xfId="1" applyFont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2" fontId="1" fillId="0" borderId="20" xfId="1" applyNumberFormat="1" applyFont="1" applyBorder="1" applyAlignment="1">
      <alignment horizontal="center" vertical="center"/>
    </xf>
    <xf numFmtId="164" fontId="1" fillId="0" borderId="20" xfId="1" applyNumberFormat="1" applyFont="1" applyBorder="1" applyAlignment="1">
      <alignment horizontal="center" vertical="center"/>
    </xf>
    <xf numFmtId="0" fontId="1" fillId="2" borderId="20" xfId="1" applyFont="1" applyFill="1" applyBorder="1" applyAlignment="1">
      <alignment horizontal="center" vertical="center"/>
    </xf>
    <xf numFmtId="2" fontId="2" fillId="5" borderId="23" xfId="1" applyNumberFormat="1" applyFill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2" fillId="0" borderId="21" xfId="1" applyNumberFormat="1" applyBorder="1" applyAlignment="1">
      <alignment horizontal="center" vertical="center"/>
    </xf>
    <xf numFmtId="0" fontId="20" fillId="0" borderId="33" xfId="1" applyFont="1" applyBorder="1" applyAlignment="1">
      <alignment horizontal="center" vertical="center"/>
    </xf>
    <xf numFmtId="2" fontId="2" fillId="0" borderId="33" xfId="1" applyNumberFormat="1" applyBorder="1" applyAlignment="1">
      <alignment horizontal="center" vertical="center"/>
    </xf>
    <xf numFmtId="2" fontId="2" fillId="0" borderId="34" xfId="1" applyNumberFormat="1" applyBorder="1" applyAlignment="1">
      <alignment horizontal="center" vertical="center"/>
    </xf>
    <xf numFmtId="2" fontId="2" fillId="0" borderId="36" xfId="1" applyNumberFormat="1" applyBorder="1" applyAlignment="1">
      <alignment horizontal="center" vertical="center"/>
    </xf>
    <xf numFmtId="0" fontId="20" fillId="0" borderId="38" xfId="1" applyFont="1" applyBorder="1" applyAlignment="1">
      <alignment horizontal="center" vertical="center"/>
    </xf>
    <xf numFmtId="2" fontId="2" fillId="0" borderId="38" xfId="1" applyNumberFormat="1" applyBorder="1" applyAlignment="1">
      <alignment horizontal="center" vertical="center"/>
    </xf>
    <xf numFmtId="2" fontId="2" fillId="0" borderId="39" xfId="1" applyNumberFormat="1" applyBorder="1" applyAlignment="1">
      <alignment horizontal="center" vertical="center"/>
    </xf>
    <xf numFmtId="0" fontId="21" fillId="0" borderId="33" xfId="1" applyFont="1" applyBorder="1" applyAlignment="1">
      <alignment horizontal="center" vertical="center"/>
    </xf>
    <xf numFmtId="1" fontId="2" fillId="0" borderId="33" xfId="1" applyNumberFormat="1" applyBorder="1" applyAlignment="1">
      <alignment horizontal="center" vertical="center"/>
    </xf>
    <xf numFmtId="1" fontId="2" fillId="0" borderId="34" xfId="1" applyNumberFormat="1" applyBorder="1" applyAlignment="1">
      <alignment horizontal="center" vertical="center"/>
    </xf>
    <xf numFmtId="1" fontId="2" fillId="0" borderId="36" xfId="1" applyNumberFormat="1" applyBorder="1" applyAlignment="1">
      <alignment horizontal="center" vertical="center"/>
    </xf>
    <xf numFmtId="0" fontId="20" fillId="0" borderId="39" xfId="1" applyFont="1" applyBorder="1" applyAlignment="1">
      <alignment horizontal="center" vertical="center"/>
    </xf>
    <xf numFmtId="164" fontId="2" fillId="0" borderId="33" xfId="1" applyNumberFormat="1" applyBorder="1" applyAlignment="1">
      <alignment horizontal="center" vertical="center"/>
    </xf>
    <xf numFmtId="165" fontId="2" fillId="0" borderId="33" xfId="1" applyNumberFormat="1" applyBorder="1" applyAlignment="1">
      <alignment horizontal="center" vertical="center"/>
    </xf>
    <xf numFmtId="164" fontId="2" fillId="0" borderId="34" xfId="1" applyNumberFormat="1" applyBorder="1" applyAlignment="1">
      <alignment horizontal="center" vertical="center"/>
    </xf>
    <xf numFmtId="164" fontId="2" fillId="0" borderId="36" xfId="1" applyNumberFormat="1" applyBorder="1" applyAlignment="1">
      <alignment horizontal="center" vertical="center"/>
    </xf>
    <xf numFmtId="1" fontId="2" fillId="0" borderId="38" xfId="1" applyNumberFormat="1" applyBorder="1" applyAlignment="1">
      <alignment horizontal="center" vertical="center"/>
    </xf>
    <xf numFmtId="164" fontId="2" fillId="0" borderId="38" xfId="1" applyNumberFormat="1" applyBorder="1" applyAlignment="1">
      <alignment horizontal="center" vertical="center"/>
    </xf>
    <xf numFmtId="165" fontId="2" fillId="0" borderId="38" xfId="1" applyNumberFormat="1" applyBorder="1" applyAlignment="1">
      <alignment horizontal="center" vertical="center"/>
    </xf>
    <xf numFmtId="164" fontId="2" fillId="0" borderId="39" xfId="1" applyNumberFormat="1" applyBorder="1" applyAlignment="1">
      <alignment horizontal="center" vertical="center"/>
    </xf>
    <xf numFmtId="0" fontId="20" fillId="0" borderId="42" xfId="1" applyFont="1" applyBorder="1" applyAlignment="1">
      <alignment horizontal="center" vertical="center" wrapText="1"/>
    </xf>
    <xf numFmtId="0" fontId="21" fillId="0" borderId="43" xfId="1" applyFont="1" applyBorder="1" applyAlignment="1">
      <alignment horizontal="center" vertical="center" wrapText="1"/>
    </xf>
    <xf numFmtId="0" fontId="20" fillId="0" borderId="43" xfId="1" applyFont="1" applyBorder="1" applyAlignment="1">
      <alignment horizontal="center" vertical="center" wrapText="1"/>
    </xf>
    <xf numFmtId="0" fontId="20" fillId="0" borderId="44" xfId="1" applyFont="1" applyBorder="1" applyAlignment="1">
      <alignment horizontal="center" vertical="center"/>
    </xf>
    <xf numFmtId="0" fontId="20" fillId="0" borderId="20" xfId="1" applyFont="1" applyBorder="1" applyAlignment="1">
      <alignment horizontal="right" vertical="center"/>
    </xf>
    <xf numFmtId="0" fontId="21" fillId="0" borderId="20" xfId="1" applyFont="1" applyBorder="1" applyAlignment="1">
      <alignment horizontal="right" vertical="center"/>
    </xf>
    <xf numFmtId="0" fontId="21" fillId="0" borderId="32" xfId="1" applyFont="1" applyBorder="1" applyAlignment="1">
      <alignment horizontal="right"/>
    </xf>
    <xf numFmtId="0" fontId="2" fillId="2" borderId="33" xfId="1" applyFill="1" applyBorder="1"/>
    <xf numFmtId="0" fontId="2" fillId="0" borderId="11" xfId="1" applyBorder="1"/>
    <xf numFmtId="0" fontId="20" fillId="0" borderId="33" xfId="1" applyFont="1" applyBorder="1" applyAlignment="1">
      <alignment horizontal="right" vertical="center"/>
    </xf>
    <xf numFmtId="0" fontId="2" fillId="2" borderId="33" xfId="1" applyFill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0" fillId="0" borderId="14" xfId="1" applyFont="1" applyBorder="1" applyAlignment="1">
      <alignment horizontal="right"/>
    </xf>
    <xf numFmtId="0" fontId="2" fillId="0" borderId="4" xfId="1" applyBorder="1" applyAlignment="1">
      <alignment horizontal="center" vertical="center"/>
    </xf>
    <xf numFmtId="0" fontId="20" fillId="0" borderId="35" xfId="1" applyFont="1" applyBorder="1" applyAlignment="1">
      <alignment horizontal="right"/>
    </xf>
    <xf numFmtId="0" fontId="20" fillId="0" borderId="45" xfId="1" applyFont="1" applyBorder="1" applyAlignment="1">
      <alignment horizontal="right"/>
    </xf>
    <xf numFmtId="0" fontId="2" fillId="0" borderId="46" xfId="1" applyBorder="1" applyAlignment="1">
      <alignment horizontal="center" vertical="center"/>
    </xf>
    <xf numFmtId="0" fontId="20" fillId="0" borderId="37" xfId="1" applyFont="1" applyBorder="1" applyAlignment="1">
      <alignment horizontal="right"/>
    </xf>
    <xf numFmtId="0" fontId="2" fillId="2" borderId="38" xfId="1" applyFill="1" applyBorder="1"/>
    <xf numFmtId="0" fontId="2" fillId="0" borderId="12" xfId="1" applyBorder="1"/>
    <xf numFmtId="0" fontId="19" fillId="0" borderId="12" xfId="1" applyFont="1" applyBorder="1" applyAlignment="1">
      <alignment horizontal="center" vertical="center"/>
    </xf>
    <xf numFmtId="2" fontId="2" fillId="0" borderId="12" xfId="1" applyNumberFormat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0" borderId="34" xfId="0" applyNumberFormat="1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2" fontId="0" fillId="0" borderId="38" xfId="0" applyNumberForma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0" fontId="20" fillId="0" borderId="44" xfId="1" applyFont="1" applyBorder="1" applyAlignment="1">
      <alignment horizontal="center" vertical="center" wrapText="1"/>
    </xf>
    <xf numFmtId="1" fontId="2" fillId="0" borderId="21" xfId="1" applyNumberFormat="1" applyBorder="1" applyAlignment="1">
      <alignment horizontal="center" vertical="center"/>
    </xf>
    <xf numFmtId="164" fontId="2" fillId="0" borderId="21" xfId="1" applyNumberFormat="1" applyBorder="1" applyAlignment="1">
      <alignment horizontal="center" vertical="center"/>
    </xf>
    <xf numFmtId="165" fontId="2" fillId="0" borderId="21" xfId="1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2" fillId="0" borderId="50" xfId="1" applyNumberFormat="1" applyBorder="1" applyAlignment="1">
      <alignment horizontal="center" vertical="center"/>
    </xf>
    <xf numFmtId="164" fontId="2" fillId="5" borderId="33" xfId="1" applyNumberFormat="1" applyFill="1" applyBorder="1" applyAlignment="1">
      <alignment horizontal="center" vertical="center"/>
    </xf>
    <xf numFmtId="164" fontId="2" fillId="5" borderId="20" xfId="1" applyNumberFormat="1" applyFill="1" applyBorder="1" applyAlignment="1">
      <alignment horizontal="center" vertical="center"/>
    </xf>
    <xf numFmtId="164" fontId="2" fillId="0" borderId="50" xfId="1" applyNumberFormat="1" applyBorder="1" applyAlignment="1">
      <alignment horizontal="center" vertical="center"/>
    </xf>
    <xf numFmtId="164" fontId="2" fillId="5" borderId="38" xfId="1" applyNumberFormat="1" applyFill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2" fontId="7" fillId="3" borderId="5" xfId="0" applyNumberFormat="1" applyFont="1" applyFill="1" applyBorder="1" applyAlignment="1">
      <alignment horizontal="center" vertical="center"/>
    </xf>
    <xf numFmtId="2" fontId="7" fillId="3" borderId="9" xfId="0" applyNumberFormat="1" applyFont="1" applyFill="1" applyBorder="1" applyAlignment="1">
      <alignment horizontal="center" vertical="center"/>
    </xf>
    <xf numFmtId="2" fontId="7" fillId="3" borderId="3" xfId="0" applyNumberFormat="1" applyFont="1" applyFill="1" applyBorder="1" applyAlignment="1">
      <alignment horizontal="center" vertical="center"/>
    </xf>
    <xf numFmtId="2" fontId="7" fillId="0" borderId="5" xfId="0" applyNumberFormat="1" applyFont="1" applyFill="1" applyBorder="1" applyAlignment="1">
      <alignment horizontal="center" vertical="center"/>
    </xf>
    <xf numFmtId="2" fontId="7" fillId="0" borderId="9" xfId="0" applyNumberFormat="1" applyFont="1" applyFill="1" applyBorder="1" applyAlignment="1">
      <alignment horizontal="center" vertical="center"/>
    </xf>
    <xf numFmtId="2" fontId="7" fillId="0" borderId="3" xfId="0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6" fillId="0" borderId="20" xfId="1" applyFont="1" applyBorder="1" applyAlignment="1">
      <alignment horizontal="center" vertical="center"/>
    </xf>
    <xf numFmtId="0" fontId="26" fillId="0" borderId="21" xfId="1" applyFont="1" applyBorder="1" applyAlignment="1">
      <alignment horizontal="center" vertical="center" wrapText="1"/>
    </xf>
    <xf numFmtId="0" fontId="26" fillId="0" borderId="26" xfId="1" applyFont="1" applyBorder="1" applyAlignment="1">
      <alignment horizontal="center" vertical="center" wrapText="1"/>
    </xf>
    <xf numFmtId="0" fontId="2" fillId="0" borderId="20" xfId="1" applyBorder="1" applyAlignment="1">
      <alignment horizontal="center" vertical="center"/>
    </xf>
    <xf numFmtId="2" fontId="2" fillId="0" borderId="22" xfId="1" applyNumberFormat="1" applyBorder="1" applyAlignment="1">
      <alignment vertical="center"/>
    </xf>
    <xf numFmtId="0" fontId="2" fillId="0" borderId="24" xfId="1" applyBorder="1" applyAlignment="1">
      <alignment vertical="center"/>
    </xf>
    <xf numFmtId="0" fontId="22" fillId="0" borderId="20" xfId="1" applyFont="1" applyBorder="1" applyAlignment="1">
      <alignment horizontal="center" vertical="center"/>
    </xf>
    <xf numFmtId="0" fontId="23" fillId="0" borderId="22" xfId="1" applyFont="1" applyBorder="1" applyAlignment="1">
      <alignment horizontal="center" vertical="center"/>
    </xf>
    <xf numFmtId="0" fontId="23" fillId="0" borderId="24" xfId="1" applyFont="1" applyBorder="1" applyAlignment="1">
      <alignment horizontal="center" vertical="center"/>
    </xf>
    <xf numFmtId="0" fontId="23" fillId="0" borderId="20" xfId="1" applyFont="1" applyBorder="1" applyAlignment="1">
      <alignment horizontal="center" vertical="center"/>
    </xf>
    <xf numFmtId="0" fontId="20" fillId="0" borderId="21" xfId="1" applyFont="1" applyBorder="1" applyAlignment="1">
      <alignment horizontal="center" vertical="center"/>
    </xf>
    <xf numFmtId="0" fontId="2" fillId="0" borderId="26" xfId="1" applyBorder="1" applyAlignment="1">
      <alignment horizontal="center" vertical="center"/>
    </xf>
    <xf numFmtId="0" fontId="20" fillId="0" borderId="20" xfId="1" applyFont="1" applyBorder="1" applyAlignment="1">
      <alignment horizontal="center" vertical="center"/>
    </xf>
    <xf numFmtId="0" fontId="24" fillId="0" borderId="40" xfId="1" applyFont="1" applyBorder="1" applyAlignment="1">
      <alignment horizontal="center" vertical="center"/>
    </xf>
    <xf numFmtId="0" fontId="24" fillId="0" borderId="41" xfId="1" applyFont="1" applyBorder="1" applyAlignment="1">
      <alignment horizontal="center" vertical="center"/>
    </xf>
    <xf numFmtId="0" fontId="24" fillId="0" borderId="19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4" fillId="0" borderId="32" xfId="1" applyFont="1" applyBorder="1" applyAlignment="1">
      <alignment horizontal="center" vertical="center" wrapText="1"/>
    </xf>
    <xf numFmtId="0" fontId="24" fillId="0" borderId="37" xfId="1" applyFont="1" applyBorder="1" applyAlignment="1">
      <alignment horizontal="center" vertical="center" wrapText="1"/>
    </xf>
    <xf numFmtId="0" fontId="24" fillId="0" borderId="33" xfId="1" applyFont="1" applyBorder="1" applyAlignment="1">
      <alignment horizontal="center" vertical="center" wrapText="1"/>
    </xf>
    <xf numFmtId="0" fontId="24" fillId="0" borderId="38" xfId="1" applyFont="1" applyBorder="1" applyAlignment="1">
      <alignment horizontal="center" vertical="center" wrapText="1"/>
    </xf>
    <xf numFmtId="0" fontId="20" fillId="0" borderId="32" xfId="1" applyFont="1" applyBorder="1" applyAlignment="1">
      <alignment horizontal="center" vertical="center"/>
    </xf>
    <xf numFmtId="0" fontId="20" fillId="0" borderId="35" xfId="1" applyFont="1" applyBorder="1" applyAlignment="1">
      <alignment horizontal="center" vertical="center"/>
    </xf>
    <xf numFmtId="0" fontId="20" fillId="0" borderId="37" xfId="1" applyFont="1" applyBorder="1" applyAlignment="1">
      <alignment horizontal="center" vertical="center"/>
    </xf>
    <xf numFmtId="0" fontId="2" fillId="0" borderId="32" xfId="1" applyNumberFormat="1" applyBorder="1" applyAlignment="1">
      <alignment horizontal="center" vertical="center"/>
    </xf>
    <xf numFmtId="0" fontId="2" fillId="0" borderId="35" xfId="1" applyNumberFormat="1" applyBorder="1" applyAlignment="1">
      <alignment horizontal="center" vertical="center"/>
    </xf>
    <xf numFmtId="0" fontId="2" fillId="0" borderId="37" xfId="1" applyNumberFormat="1" applyBorder="1" applyAlignment="1">
      <alignment horizontal="center" vertical="center"/>
    </xf>
    <xf numFmtId="0" fontId="2" fillId="0" borderId="51" xfId="1" applyNumberFormat="1" applyBorder="1" applyAlignment="1">
      <alignment horizontal="center" vertical="center"/>
    </xf>
    <xf numFmtId="0" fontId="2" fillId="0" borderId="32" xfId="1" applyBorder="1" applyAlignment="1">
      <alignment horizontal="center" vertical="center"/>
    </xf>
    <xf numFmtId="0" fontId="2" fillId="0" borderId="35" xfId="1" applyBorder="1" applyAlignment="1">
      <alignment horizontal="center" vertical="center"/>
    </xf>
    <xf numFmtId="0" fontId="2" fillId="0" borderId="37" xfId="1" applyBorder="1" applyAlignment="1">
      <alignment horizontal="center" vertical="center"/>
    </xf>
    <xf numFmtId="0" fontId="2" fillId="0" borderId="47" xfId="1" applyBorder="1" applyAlignment="1">
      <alignment horizontal="center" vertical="center"/>
    </xf>
    <xf numFmtId="0" fontId="2" fillId="0" borderId="48" xfId="1" applyBorder="1" applyAlignment="1">
      <alignment horizontal="center" vertical="center"/>
    </xf>
    <xf numFmtId="0" fontId="2" fillId="0" borderId="49" xfId="1" applyBorder="1" applyAlignment="1">
      <alignment horizontal="center" vertical="center"/>
    </xf>
    <xf numFmtId="0" fontId="2" fillId="0" borderId="47" xfId="1" applyNumberFormat="1" applyBorder="1" applyAlignment="1">
      <alignment horizontal="center" vertical="center"/>
    </xf>
    <xf numFmtId="0" fontId="2" fillId="0" borderId="48" xfId="1" applyNumberFormat="1" applyBorder="1" applyAlignment="1">
      <alignment horizontal="center" vertical="center"/>
    </xf>
    <xf numFmtId="0" fontId="2" fillId="0" borderId="49" xfId="1" applyNumberFormat="1" applyBorder="1" applyAlignment="1">
      <alignment horizontal="center" vertical="center"/>
    </xf>
    <xf numFmtId="0" fontId="2" fillId="0" borderId="0" xfId="1" applyBorder="1" applyAlignment="1">
      <alignment horizontal="center" wrapText="1"/>
    </xf>
    <xf numFmtId="0" fontId="2" fillId="0" borderId="0" xfId="1" applyAlignment="1">
      <alignment horizontal="left" shrinkToFit="1"/>
    </xf>
    <xf numFmtId="164" fontId="2" fillId="0" borderId="0" xfId="1" applyNumberForma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ГТК-</a:t>
            </a:r>
            <a:r>
              <a:rPr lang="en-US"/>
              <a:t>VII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Главная!$B$25</c:f>
              <c:strCache>
                <c:ptCount val="1"/>
                <c:pt idx="0">
                  <c:v>rlН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Главная!$C$25:$P$25</c:f>
              <c:numCache>
                <c:formatCode>0.00</c:formatCode>
                <c:ptCount val="14"/>
                <c:pt idx="0">
                  <c:v>2.95</c:v>
                </c:pt>
                <c:pt idx="1">
                  <c:v>2.91</c:v>
                </c:pt>
                <c:pt idx="2">
                  <c:v>2.86</c:v>
                </c:pt>
                <c:pt idx="3">
                  <c:v>2.78</c:v>
                </c:pt>
                <c:pt idx="4">
                  <c:v>2.65</c:v>
                </c:pt>
                <c:pt idx="5">
                  <c:v>2.5</c:v>
                </c:pt>
                <c:pt idx="6">
                  <c:v>2.2999999999999998</c:v>
                </c:pt>
                <c:pt idx="7">
                  <c:v>2.0499999999999998</c:v>
                </c:pt>
                <c:pt idx="8">
                  <c:v>1.75</c:v>
                </c:pt>
                <c:pt idx="9">
                  <c:v>1.65</c:v>
                </c:pt>
                <c:pt idx="11">
                  <c:v>1.2</c:v>
                </c:pt>
                <c:pt idx="13">
                  <c:v>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51-44A5-B439-487DFDC16C2A}"/>
            </c:ext>
          </c:extLst>
        </c:ser>
        <c:ser>
          <c:idx val="1"/>
          <c:order val="1"/>
          <c:tx>
            <c:strRef>
              <c:f>Главная!$B$26</c:f>
              <c:strCache>
                <c:ptCount val="1"/>
                <c:pt idx="0">
                  <c:v>КТ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Главная!$C$26:$P$26</c:f>
              <c:numCache>
                <c:formatCode>0.00</c:formatCode>
                <c:ptCount val="14"/>
                <c:pt idx="0">
                  <c:v>2.76</c:v>
                </c:pt>
                <c:pt idx="1">
                  <c:v>2.7</c:v>
                </c:pt>
                <c:pt idx="2">
                  <c:v>2.4500000000000002</c:v>
                </c:pt>
                <c:pt idx="3">
                  <c:v>2.15</c:v>
                </c:pt>
                <c:pt idx="4">
                  <c:v>1.87</c:v>
                </c:pt>
                <c:pt idx="5">
                  <c:v>1.6</c:v>
                </c:pt>
                <c:pt idx="6">
                  <c:v>1.38</c:v>
                </c:pt>
                <c:pt idx="7">
                  <c:v>1.21</c:v>
                </c:pt>
                <c:pt idx="8">
                  <c:v>1.07</c:v>
                </c:pt>
                <c:pt idx="9">
                  <c:v>1</c:v>
                </c:pt>
                <c:pt idx="11">
                  <c:v>1</c:v>
                </c:pt>
                <c:pt idx="1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51-44A5-B439-487DFDC16C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80719"/>
        <c:axId val="1238981551"/>
      </c:lineChart>
      <c:lineChart>
        <c:grouping val="standard"/>
        <c:varyColors val="0"/>
        <c:ser>
          <c:idx val="2"/>
          <c:order val="2"/>
          <c:tx>
            <c:strRef>
              <c:f>Главная!$B$27</c:f>
              <c:strCache>
                <c:ptCount val="1"/>
                <c:pt idx="0">
                  <c:v>hГ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Главная!$C$27:$P$27</c:f>
              <c:numCache>
                <c:formatCode>0.00</c:formatCode>
                <c:ptCount val="14"/>
                <c:pt idx="0">
                  <c:v>0</c:v>
                </c:pt>
                <c:pt idx="1">
                  <c:v>0.27</c:v>
                </c:pt>
                <c:pt idx="2">
                  <c:v>0.49</c:v>
                </c:pt>
                <c:pt idx="3">
                  <c:v>0.63</c:v>
                </c:pt>
                <c:pt idx="4">
                  <c:v>0.75</c:v>
                </c:pt>
                <c:pt idx="5">
                  <c:v>0.83</c:v>
                </c:pt>
                <c:pt idx="6">
                  <c:v>0.87</c:v>
                </c:pt>
                <c:pt idx="7">
                  <c:v>0.85</c:v>
                </c:pt>
                <c:pt idx="8">
                  <c:v>0.86</c:v>
                </c:pt>
                <c:pt idx="9">
                  <c:v>0.84</c:v>
                </c:pt>
                <c:pt idx="11">
                  <c:v>0.9</c:v>
                </c:pt>
                <c:pt idx="13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A51-44A5-B439-487DFDC16C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93199"/>
        <c:axId val="1238986543"/>
      </c:lineChart>
      <c:catAx>
        <c:axId val="1238980719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1551"/>
        <c:crosses val="autoZero"/>
        <c:auto val="1"/>
        <c:lblAlgn val="ctr"/>
        <c:lblOffset val="100"/>
        <c:noMultiLvlLbl val="0"/>
      </c:catAx>
      <c:valAx>
        <c:axId val="1238981551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0719"/>
        <c:crosses val="autoZero"/>
        <c:crossBetween val="between"/>
      </c:valAx>
      <c:valAx>
        <c:axId val="1238986543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93199"/>
        <c:crosses val="max"/>
        <c:crossBetween val="between"/>
      </c:valAx>
      <c:catAx>
        <c:axId val="12389931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89865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ГТК-</a:t>
            </a:r>
            <a:r>
              <a:rPr lang="en-US"/>
              <a:t>X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Главная!$B$28</c:f>
              <c:strCache>
                <c:ptCount val="1"/>
                <c:pt idx="0">
                  <c:v>rlН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Главная!$C$28:$P$28</c:f>
              <c:numCache>
                <c:formatCode>0.00</c:formatCode>
                <c:ptCount val="14"/>
                <c:pt idx="0">
                  <c:v>3.2</c:v>
                </c:pt>
                <c:pt idx="1">
                  <c:v>3.2</c:v>
                </c:pt>
                <c:pt idx="2">
                  <c:v>3.17</c:v>
                </c:pt>
                <c:pt idx="3">
                  <c:v>3.08</c:v>
                </c:pt>
                <c:pt idx="4">
                  <c:v>3</c:v>
                </c:pt>
                <c:pt idx="5">
                  <c:v>2.86</c:v>
                </c:pt>
                <c:pt idx="6">
                  <c:v>2.68</c:v>
                </c:pt>
                <c:pt idx="7">
                  <c:v>2.4</c:v>
                </c:pt>
                <c:pt idx="8">
                  <c:v>2</c:v>
                </c:pt>
                <c:pt idx="10">
                  <c:v>1.4</c:v>
                </c:pt>
                <c:pt idx="11">
                  <c:v>1.4</c:v>
                </c:pt>
                <c:pt idx="1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2A-43E5-B776-3D605BC1AD72}"/>
            </c:ext>
          </c:extLst>
        </c:ser>
        <c:ser>
          <c:idx val="1"/>
          <c:order val="1"/>
          <c:tx>
            <c:strRef>
              <c:f>Главная!$B$29</c:f>
              <c:strCache>
                <c:ptCount val="1"/>
                <c:pt idx="0">
                  <c:v>КТ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Главная!$C$29:$P$29</c:f>
              <c:numCache>
                <c:formatCode>0.00</c:formatCode>
                <c:ptCount val="14"/>
                <c:pt idx="0">
                  <c:v>2.7</c:v>
                </c:pt>
                <c:pt idx="1">
                  <c:v>2.46</c:v>
                </c:pt>
                <c:pt idx="2">
                  <c:v>2.2000000000000002</c:v>
                </c:pt>
                <c:pt idx="3">
                  <c:v>2</c:v>
                </c:pt>
                <c:pt idx="4">
                  <c:v>1.82</c:v>
                </c:pt>
                <c:pt idx="5">
                  <c:v>1.62</c:v>
                </c:pt>
                <c:pt idx="6">
                  <c:v>1.44</c:v>
                </c:pt>
                <c:pt idx="7">
                  <c:v>1.28</c:v>
                </c:pt>
                <c:pt idx="8">
                  <c:v>1.1100000000000001</c:v>
                </c:pt>
                <c:pt idx="10">
                  <c:v>1</c:v>
                </c:pt>
                <c:pt idx="11">
                  <c:v>1</c:v>
                </c:pt>
                <c:pt idx="1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2A-43E5-B776-3D605BC1AD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80719"/>
        <c:axId val="1238981551"/>
      </c:lineChart>
      <c:lineChart>
        <c:grouping val="standard"/>
        <c:varyColors val="0"/>
        <c:ser>
          <c:idx val="2"/>
          <c:order val="2"/>
          <c:tx>
            <c:strRef>
              <c:f>Главная!$B$30</c:f>
              <c:strCache>
                <c:ptCount val="1"/>
                <c:pt idx="0">
                  <c:v>hГ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Главная!$C$30:$P$30</c:f>
              <c:numCache>
                <c:formatCode>0.00</c:formatCode>
                <c:ptCount val="14"/>
                <c:pt idx="0">
                  <c:v>0</c:v>
                </c:pt>
                <c:pt idx="1">
                  <c:v>0.25</c:v>
                </c:pt>
                <c:pt idx="2">
                  <c:v>0.44</c:v>
                </c:pt>
                <c:pt idx="3">
                  <c:v>0.59</c:v>
                </c:pt>
                <c:pt idx="4">
                  <c:v>0.73</c:v>
                </c:pt>
                <c:pt idx="5">
                  <c:v>0.81</c:v>
                </c:pt>
                <c:pt idx="6">
                  <c:v>0.87</c:v>
                </c:pt>
                <c:pt idx="7">
                  <c:v>0.89</c:v>
                </c:pt>
                <c:pt idx="8">
                  <c:v>0.89</c:v>
                </c:pt>
                <c:pt idx="10">
                  <c:v>0.88</c:v>
                </c:pt>
                <c:pt idx="11">
                  <c:v>0.9</c:v>
                </c:pt>
                <c:pt idx="13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2A-43E5-B776-3D605BC1AD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93199"/>
        <c:axId val="1238986543"/>
      </c:lineChart>
      <c:catAx>
        <c:axId val="1238980719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1551"/>
        <c:crosses val="autoZero"/>
        <c:auto val="1"/>
        <c:lblAlgn val="ctr"/>
        <c:lblOffset val="100"/>
        <c:noMultiLvlLbl val="0"/>
      </c:catAx>
      <c:valAx>
        <c:axId val="1238981551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0719"/>
        <c:crosses val="autoZero"/>
        <c:crossBetween val="between"/>
      </c:valAx>
      <c:valAx>
        <c:axId val="1238986543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93199"/>
        <c:crosses val="max"/>
        <c:crossBetween val="between"/>
      </c:valAx>
      <c:catAx>
        <c:axId val="12389931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89865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ГТК-</a:t>
            </a:r>
            <a:r>
              <a:rPr lang="en-US"/>
              <a:t>XI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Главная!$B$31</c:f>
              <c:strCache>
                <c:ptCount val="1"/>
                <c:pt idx="0">
                  <c:v>rlН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Главная!$C$31:$P$31</c:f>
              <c:numCache>
                <c:formatCode>0.00</c:formatCode>
                <c:ptCount val="14"/>
                <c:pt idx="0">
                  <c:v>2.82</c:v>
                </c:pt>
                <c:pt idx="1">
                  <c:v>2.72</c:v>
                </c:pt>
                <c:pt idx="2">
                  <c:v>2.68</c:v>
                </c:pt>
                <c:pt idx="3">
                  <c:v>2.63</c:v>
                </c:pt>
                <c:pt idx="4">
                  <c:v>2.5499999999999998</c:v>
                </c:pt>
                <c:pt idx="5">
                  <c:v>2.5</c:v>
                </c:pt>
                <c:pt idx="6">
                  <c:v>2.46</c:v>
                </c:pt>
                <c:pt idx="7">
                  <c:v>2.3199999999999998</c:v>
                </c:pt>
                <c:pt idx="8">
                  <c:v>2.15</c:v>
                </c:pt>
                <c:pt idx="11">
                  <c:v>1.79</c:v>
                </c:pt>
                <c:pt idx="12">
                  <c:v>1.7</c:v>
                </c:pt>
                <c:pt idx="13">
                  <c:v>1.34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1D-42DC-A85D-286BCF374219}"/>
            </c:ext>
          </c:extLst>
        </c:ser>
        <c:ser>
          <c:idx val="1"/>
          <c:order val="1"/>
          <c:tx>
            <c:strRef>
              <c:f>Главная!$B$32</c:f>
              <c:strCache>
                <c:ptCount val="1"/>
                <c:pt idx="0">
                  <c:v>КТ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Главная!$C$32:$P$32</c:f>
              <c:numCache>
                <c:formatCode>0.00</c:formatCode>
                <c:ptCount val="14"/>
                <c:pt idx="0">
                  <c:v>2</c:v>
                </c:pt>
                <c:pt idx="1">
                  <c:v>1.96</c:v>
                </c:pt>
                <c:pt idx="2">
                  <c:v>1.89</c:v>
                </c:pt>
                <c:pt idx="3">
                  <c:v>1.8</c:v>
                </c:pt>
                <c:pt idx="4">
                  <c:v>1.7</c:v>
                </c:pt>
                <c:pt idx="5">
                  <c:v>1.57</c:v>
                </c:pt>
                <c:pt idx="6">
                  <c:v>1.43</c:v>
                </c:pt>
                <c:pt idx="7">
                  <c:v>1.3</c:v>
                </c:pt>
                <c:pt idx="8">
                  <c:v>1.1599999999999999</c:v>
                </c:pt>
                <c:pt idx="11">
                  <c:v>1.02</c:v>
                </c:pt>
                <c:pt idx="12">
                  <c:v>1</c:v>
                </c:pt>
                <c:pt idx="1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1D-42DC-A85D-286BCF3742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80719"/>
        <c:axId val="1238981551"/>
      </c:lineChart>
      <c:lineChart>
        <c:grouping val="standard"/>
        <c:varyColors val="0"/>
        <c:ser>
          <c:idx val="2"/>
          <c:order val="2"/>
          <c:tx>
            <c:strRef>
              <c:f>Главная!$B$33</c:f>
              <c:strCache>
                <c:ptCount val="1"/>
                <c:pt idx="0">
                  <c:v>hГ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Главная!$C$33:$P$33</c:f>
              <c:numCache>
                <c:formatCode>0.00</c:formatCode>
                <c:ptCount val="14"/>
                <c:pt idx="0">
                  <c:v>0</c:v>
                </c:pt>
                <c:pt idx="1">
                  <c:v>0.2</c:v>
                </c:pt>
                <c:pt idx="2">
                  <c:v>0.39</c:v>
                </c:pt>
                <c:pt idx="3">
                  <c:v>0.54</c:v>
                </c:pt>
                <c:pt idx="4">
                  <c:v>0.68</c:v>
                </c:pt>
                <c:pt idx="5">
                  <c:v>0.78</c:v>
                </c:pt>
                <c:pt idx="6">
                  <c:v>0.86</c:v>
                </c:pt>
                <c:pt idx="7">
                  <c:v>0.91</c:v>
                </c:pt>
                <c:pt idx="8">
                  <c:v>0.93</c:v>
                </c:pt>
                <c:pt idx="11">
                  <c:v>0.92</c:v>
                </c:pt>
                <c:pt idx="12">
                  <c:v>0.91</c:v>
                </c:pt>
                <c:pt idx="13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D1D-42DC-A85D-286BCF3742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93199"/>
        <c:axId val="1238986543"/>
      </c:lineChart>
      <c:catAx>
        <c:axId val="1238980719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1551"/>
        <c:crosses val="autoZero"/>
        <c:auto val="1"/>
        <c:lblAlgn val="ctr"/>
        <c:lblOffset val="100"/>
        <c:noMultiLvlLbl val="0"/>
      </c:catAx>
      <c:valAx>
        <c:axId val="1238981551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0719"/>
        <c:crosses val="autoZero"/>
        <c:crossBetween val="between"/>
      </c:valAx>
      <c:valAx>
        <c:axId val="1238986543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93199"/>
        <c:crosses val="max"/>
        <c:crossBetween val="between"/>
      </c:valAx>
      <c:catAx>
        <c:axId val="12389931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89865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ГТК-</a:t>
            </a:r>
            <a:r>
              <a:rPr lang="en-US"/>
              <a:t>XII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Главная!$B$34</c:f>
              <c:strCache>
                <c:ptCount val="1"/>
                <c:pt idx="0">
                  <c:v>rlН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Главная!$C$34:$P$34</c:f>
              <c:numCache>
                <c:formatCode>0.00</c:formatCode>
                <c:ptCount val="14"/>
                <c:pt idx="0">
                  <c:v>2.68</c:v>
                </c:pt>
                <c:pt idx="1">
                  <c:v>2.68</c:v>
                </c:pt>
                <c:pt idx="2">
                  <c:v>2.67</c:v>
                </c:pt>
                <c:pt idx="3">
                  <c:v>2.64</c:v>
                </c:pt>
                <c:pt idx="4">
                  <c:v>2.6</c:v>
                </c:pt>
                <c:pt idx="5">
                  <c:v>2.5</c:v>
                </c:pt>
                <c:pt idx="6">
                  <c:v>2.3199999999999998</c:v>
                </c:pt>
                <c:pt idx="7">
                  <c:v>2.1</c:v>
                </c:pt>
                <c:pt idx="8">
                  <c:v>1.78</c:v>
                </c:pt>
                <c:pt idx="9">
                  <c:v>1.28</c:v>
                </c:pt>
                <c:pt idx="11">
                  <c:v>1.25</c:v>
                </c:pt>
                <c:pt idx="13">
                  <c:v>0.72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01-42EB-A32A-4E693BBA7950}"/>
            </c:ext>
          </c:extLst>
        </c:ser>
        <c:ser>
          <c:idx val="1"/>
          <c:order val="1"/>
          <c:tx>
            <c:strRef>
              <c:f>Главная!$B$35</c:f>
              <c:strCache>
                <c:ptCount val="1"/>
                <c:pt idx="0">
                  <c:v>КТ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Главная!$C$35:$P$35</c:f>
              <c:numCache>
                <c:formatCode>0.00</c:formatCode>
                <c:ptCount val="14"/>
                <c:pt idx="0">
                  <c:v>2.75</c:v>
                </c:pt>
                <c:pt idx="1">
                  <c:v>2.59</c:v>
                </c:pt>
                <c:pt idx="2">
                  <c:v>2.4</c:v>
                </c:pt>
                <c:pt idx="3">
                  <c:v>2.14</c:v>
                </c:pt>
                <c:pt idx="4">
                  <c:v>1.9</c:v>
                </c:pt>
                <c:pt idx="5">
                  <c:v>1.69</c:v>
                </c:pt>
                <c:pt idx="6">
                  <c:v>1.46</c:v>
                </c:pt>
                <c:pt idx="7">
                  <c:v>1.29</c:v>
                </c:pt>
                <c:pt idx="8">
                  <c:v>1.1299999999999999</c:v>
                </c:pt>
                <c:pt idx="9">
                  <c:v>1</c:v>
                </c:pt>
                <c:pt idx="11">
                  <c:v>1</c:v>
                </c:pt>
                <c:pt idx="1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01-42EB-A32A-4E693BBA79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80719"/>
        <c:axId val="1238981551"/>
      </c:lineChart>
      <c:lineChart>
        <c:grouping val="standard"/>
        <c:varyColors val="0"/>
        <c:ser>
          <c:idx val="2"/>
          <c:order val="2"/>
          <c:tx>
            <c:strRef>
              <c:f>Главная!$B$36</c:f>
              <c:strCache>
                <c:ptCount val="1"/>
                <c:pt idx="0">
                  <c:v>hГ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Главная!$C$36:$P$36</c:f>
              <c:numCache>
                <c:formatCode>0.00</c:formatCode>
                <c:ptCount val="14"/>
                <c:pt idx="0">
                  <c:v>0</c:v>
                </c:pt>
                <c:pt idx="1">
                  <c:v>0.26</c:v>
                </c:pt>
                <c:pt idx="2">
                  <c:v>0.48</c:v>
                </c:pt>
                <c:pt idx="3">
                  <c:v>0.64</c:v>
                </c:pt>
                <c:pt idx="4">
                  <c:v>0.76</c:v>
                </c:pt>
                <c:pt idx="5">
                  <c:v>0.85</c:v>
                </c:pt>
                <c:pt idx="6">
                  <c:v>0.88</c:v>
                </c:pt>
                <c:pt idx="7">
                  <c:v>0.9</c:v>
                </c:pt>
                <c:pt idx="8">
                  <c:v>0.9</c:v>
                </c:pt>
                <c:pt idx="9">
                  <c:v>0.86</c:v>
                </c:pt>
                <c:pt idx="11">
                  <c:v>0.9</c:v>
                </c:pt>
                <c:pt idx="13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01-42EB-A32A-4E693BBA79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93199"/>
        <c:axId val="1238986543"/>
      </c:lineChart>
      <c:catAx>
        <c:axId val="1238980719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1551"/>
        <c:crosses val="autoZero"/>
        <c:auto val="1"/>
        <c:lblAlgn val="ctr"/>
        <c:lblOffset val="100"/>
        <c:noMultiLvlLbl val="0"/>
      </c:catAx>
      <c:valAx>
        <c:axId val="1238981551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0719"/>
        <c:crosses val="autoZero"/>
        <c:crossBetween val="between"/>
      </c:valAx>
      <c:valAx>
        <c:axId val="1238986543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93199"/>
        <c:crosses val="max"/>
        <c:crossBetween val="between"/>
      </c:valAx>
      <c:catAx>
        <c:axId val="12389931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89865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ГТК-</a:t>
            </a:r>
            <a:r>
              <a:rPr lang="en-US"/>
              <a:t>IX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Главная!$B$37</c:f>
              <c:strCache>
                <c:ptCount val="1"/>
                <c:pt idx="0">
                  <c:v>rlН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Главная!$C$37:$P$37</c:f>
              <c:numCache>
                <c:formatCode>0.00</c:formatCode>
                <c:ptCount val="14"/>
                <c:pt idx="0">
                  <c:v>4.6500000000000004</c:v>
                </c:pt>
                <c:pt idx="1">
                  <c:v>4.58</c:v>
                </c:pt>
                <c:pt idx="2">
                  <c:v>4.38</c:v>
                </c:pt>
                <c:pt idx="3">
                  <c:v>4.2</c:v>
                </c:pt>
                <c:pt idx="4">
                  <c:v>4</c:v>
                </c:pt>
                <c:pt idx="5">
                  <c:v>3.75</c:v>
                </c:pt>
                <c:pt idx="6">
                  <c:v>3.44</c:v>
                </c:pt>
                <c:pt idx="7">
                  <c:v>3.04</c:v>
                </c:pt>
                <c:pt idx="8">
                  <c:v>2.41</c:v>
                </c:pt>
                <c:pt idx="11">
                  <c:v>1.85</c:v>
                </c:pt>
                <c:pt idx="13">
                  <c:v>1.25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53-4226-AAFE-66B865091A40}"/>
            </c:ext>
          </c:extLst>
        </c:ser>
        <c:ser>
          <c:idx val="1"/>
          <c:order val="1"/>
          <c:tx>
            <c:strRef>
              <c:f>Главная!$B$38</c:f>
              <c:strCache>
                <c:ptCount val="1"/>
                <c:pt idx="0">
                  <c:v>КТ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Главная!$C$38:$P$38</c:f>
              <c:numCache>
                <c:formatCode>0.00</c:formatCode>
                <c:ptCount val="14"/>
                <c:pt idx="0">
                  <c:v>2.04</c:v>
                </c:pt>
                <c:pt idx="1">
                  <c:v>2</c:v>
                </c:pt>
                <c:pt idx="2">
                  <c:v>1.92</c:v>
                </c:pt>
                <c:pt idx="3">
                  <c:v>1.81</c:v>
                </c:pt>
                <c:pt idx="4">
                  <c:v>1.7</c:v>
                </c:pt>
                <c:pt idx="5">
                  <c:v>1.58</c:v>
                </c:pt>
                <c:pt idx="6">
                  <c:v>1.43</c:v>
                </c:pt>
                <c:pt idx="7">
                  <c:v>1.27</c:v>
                </c:pt>
                <c:pt idx="8">
                  <c:v>1.1100000000000001</c:v>
                </c:pt>
                <c:pt idx="11">
                  <c:v>1</c:v>
                </c:pt>
                <c:pt idx="1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53-4226-AAFE-66B865091A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80719"/>
        <c:axId val="1238981551"/>
      </c:lineChart>
      <c:lineChart>
        <c:grouping val="standard"/>
        <c:varyColors val="0"/>
        <c:ser>
          <c:idx val="2"/>
          <c:order val="2"/>
          <c:tx>
            <c:strRef>
              <c:f>Главная!$B$39</c:f>
              <c:strCache>
                <c:ptCount val="1"/>
                <c:pt idx="0">
                  <c:v>hГ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Главная!$C$39:$P$39</c:f>
              <c:numCache>
                <c:formatCode>0.00</c:formatCode>
                <c:ptCount val="14"/>
                <c:pt idx="0">
                  <c:v>0</c:v>
                </c:pt>
                <c:pt idx="1">
                  <c:v>0.2</c:v>
                </c:pt>
                <c:pt idx="2">
                  <c:v>0.38</c:v>
                </c:pt>
                <c:pt idx="3">
                  <c:v>0.54</c:v>
                </c:pt>
                <c:pt idx="4">
                  <c:v>0.68</c:v>
                </c:pt>
                <c:pt idx="5">
                  <c:v>0.8</c:v>
                </c:pt>
                <c:pt idx="6">
                  <c:v>0.86</c:v>
                </c:pt>
                <c:pt idx="7">
                  <c:v>0.89</c:v>
                </c:pt>
                <c:pt idx="8">
                  <c:v>0.89</c:v>
                </c:pt>
                <c:pt idx="11">
                  <c:v>0.9</c:v>
                </c:pt>
                <c:pt idx="13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53-4226-AAFE-66B865091A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93199"/>
        <c:axId val="1238986543"/>
      </c:lineChart>
      <c:catAx>
        <c:axId val="1238980719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1551"/>
        <c:crosses val="autoZero"/>
        <c:auto val="1"/>
        <c:lblAlgn val="ctr"/>
        <c:lblOffset val="100"/>
        <c:noMultiLvlLbl val="0"/>
      </c:catAx>
      <c:valAx>
        <c:axId val="1238981551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0719"/>
        <c:crosses val="autoZero"/>
        <c:crossBetween val="between"/>
      </c:valAx>
      <c:valAx>
        <c:axId val="1238986543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93199"/>
        <c:crosses val="max"/>
        <c:crossBetween val="between"/>
      </c:valAx>
      <c:catAx>
        <c:axId val="12389931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89865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ГТК-</a:t>
            </a:r>
            <a:r>
              <a:rPr lang="en-US"/>
              <a:t>III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Главная!$B$40</c:f>
              <c:strCache>
                <c:ptCount val="1"/>
                <c:pt idx="0">
                  <c:v>rlН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Главная!$C$40:$P$40</c:f>
              <c:numCache>
                <c:formatCode>0.00</c:formatCode>
                <c:ptCount val="14"/>
                <c:pt idx="0">
                  <c:v>4.9000000000000004</c:v>
                </c:pt>
                <c:pt idx="1">
                  <c:v>4.8499999999999996</c:v>
                </c:pt>
                <c:pt idx="2">
                  <c:v>4.67</c:v>
                </c:pt>
                <c:pt idx="3">
                  <c:v>4.5</c:v>
                </c:pt>
                <c:pt idx="4">
                  <c:v>4.3</c:v>
                </c:pt>
                <c:pt idx="5">
                  <c:v>4</c:v>
                </c:pt>
                <c:pt idx="6">
                  <c:v>3.67</c:v>
                </c:pt>
                <c:pt idx="7">
                  <c:v>3.2</c:v>
                </c:pt>
                <c:pt idx="8">
                  <c:v>2.5</c:v>
                </c:pt>
                <c:pt idx="10">
                  <c:v>1.7</c:v>
                </c:pt>
                <c:pt idx="11">
                  <c:v>1.5</c:v>
                </c:pt>
                <c:pt idx="13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B8-40F3-BB98-8E6C4D6DFCEA}"/>
            </c:ext>
          </c:extLst>
        </c:ser>
        <c:ser>
          <c:idx val="1"/>
          <c:order val="1"/>
          <c:tx>
            <c:strRef>
              <c:f>Главная!$B$41</c:f>
              <c:strCache>
                <c:ptCount val="1"/>
                <c:pt idx="0">
                  <c:v>КТ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Главная!$C$41:$P$41</c:f>
              <c:numCache>
                <c:formatCode>0.00</c:formatCode>
                <c:ptCount val="14"/>
                <c:pt idx="0">
                  <c:v>2.7</c:v>
                </c:pt>
                <c:pt idx="1">
                  <c:v>2.5</c:v>
                </c:pt>
                <c:pt idx="2">
                  <c:v>2.2799999999999998</c:v>
                </c:pt>
                <c:pt idx="3">
                  <c:v>2.0499999999999998</c:v>
                </c:pt>
                <c:pt idx="4">
                  <c:v>1.82</c:v>
                </c:pt>
                <c:pt idx="5">
                  <c:v>1.62</c:v>
                </c:pt>
                <c:pt idx="6">
                  <c:v>1.48</c:v>
                </c:pt>
                <c:pt idx="7">
                  <c:v>1.23</c:v>
                </c:pt>
                <c:pt idx="8">
                  <c:v>1.1000000000000001</c:v>
                </c:pt>
                <c:pt idx="10">
                  <c:v>1</c:v>
                </c:pt>
                <c:pt idx="11">
                  <c:v>1</c:v>
                </c:pt>
                <c:pt idx="1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B8-40F3-BB98-8E6C4D6DF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80719"/>
        <c:axId val="1238981551"/>
      </c:lineChart>
      <c:lineChart>
        <c:grouping val="standard"/>
        <c:varyColors val="0"/>
        <c:ser>
          <c:idx val="2"/>
          <c:order val="2"/>
          <c:tx>
            <c:strRef>
              <c:f>Главная!$B$42</c:f>
              <c:strCache>
                <c:ptCount val="1"/>
                <c:pt idx="0">
                  <c:v>hГ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Главная!$C$42:$P$42</c:f>
              <c:numCache>
                <c:formatCode>0.00</c:formatCode>
                <c:ptCount val="14"/>
                <c:pt idx="0">
                  <c:v>0</c:v>
                </c:pt>
                <c:pt idx="1">
                  <c:v>0.25</c:v>
                </c:pt>
                <c:pt idx="2">
                  <c:v>0.46</c:v>
                </c:pt>
                <c:pt idx="3">
                  <c:v>0.6</c:v>
                </c:pt>
                <c:pt idx="4">
                  <c:v>0.73</c:v>
                </c:pt>
                <c:pt idx="5">
                  <c:v>0.81</c:v>
                </c:pt>
                <c:pt idx="6">
                  <c:v>0.86</c:v>
                </c:pt>
                <c:pt idx="7">
                  <c:v>0.86</c:v>
                </c:pt>
                <c:pt idx="8">
                  <c:v>0.88</c:v>
                </c:pt>
                <c:pt idx="10">
                  <c:v>0.87</c:v>
                </c:pt>
                <c:pt idx="11">
                  <c:v>0.9</c:v>
                </c:pt>
                <c:pt idx="13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B8-40F3-BB98-8E6C4D6DF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93199"/>
        <c:axId val="1238986543"/>
      </c:lineChart>
      <c:catAx>
        <c:axId val="1238980719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1551"/>
        <c:crosses val="autoZero"/>
        <c:auto val="1"/>
        <c:lblAlgn val="ctr"/>
        <c:lblOffset val="100"/>
        <c:noMultiLvlLbl val="0"/>
      </c:catAx>
      <c:valAx>
        <c:axId val="1238981551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0719"/>
        <c:crosses val="autoZero"/>
        <c:crossBetween val="between"/>
      </c:valAx>
      <c:valAx>
        <c:axId val="1238986543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93199"/>
        <c:crosses val="max"/>
        <c:crossBetween val="between"/>
      </c:valAx>
      <c:catAx>
        <c:axId val="12389931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89865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ГТК-</a:t>
            </a:r>
            <a:r>
              <a:rPr lang="en-US"/>
              <a:t>II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Главная!$B$43</c:f>
              <c:strCache>
                <c:ptCount val="1"/>
                <c:pt idx="0">
                  <c:v>rlН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Главная!$C$43:$P$43</c:f>
              <c:numCache>
                <c:formatCode>0.00</c:formatCode>
                <c:ptCount val="14"/>
                <c:pt idx="0">
                  <c:v>1.1499999999999999</c:v>
                </c:pt>
                <c:pt idx="1">
                  <c:v>1.2</c:v>
                </c:pt>
                <c:pt idx="2">
                  <c:v>1.3</c:v>
                </c:pt>
                <c:pt idx="3">
                  <c:v>1.34</c:v>
                </c:pt>
                <c:pt idx="4">
                  <c:v>1.35</c:v>
                </c:pt>
                <c:pt idx="5">
                  <c:v>1.34</c:v>
                </c:pt>
                <c:pt idx="6">
                  <c:v>1.3</c:v>
                </c:pt>
                <c:pt idx="7">
                  <c:v>1.2</c:v>
                </c:pt>
                <c:pt idx="8">
                  <c:v>1</c:v>
                </c:pt>
                <c:pt idx="9">
                  <c:v>0.91</c:v>
                </c:pt>
                <c:pt idx="12">
                  <c:v>0.75</c:v>
                </c:pt>
                <c:pt idx="13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2B6-45C8-A5A1-505F6BCF41B3}"/>
            </c:ext>
          </c:extLst>
        </c:ser>
        <c:ser>
          <c:idx val="1"/>
          <c:order val="1"/>
          <c:tx>
            <c:strRef>
              <c:f>Главная!$B$44</c:f>
              <c:strCache>
                <c:ptCount val="1"/>
                <c:pt idx="0">
                  <c:v>КТ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Главная!$C$44:$P$44</c:f>
              <c:numCache>
                <c:formatCode>0.00</c:formatCode>
                <c:ptCount val="14"/>
                <c:pt idx="0">
                  <c:v>3.7</c:v>
                </c:pt>
                <c:pt idx="1">
                  <c:v>3.35</c:v>
                </c:pt>
                <c:pt idx="2">
                  <c:v>2.9</c:v>
                </c:pt>
                <c:pt idx="3">
                  <c:v>2.5</c:v>
                </c:pt>
                <c:pt idx="4">
                  <c:v>2.1</c:v>
                </c:pt>
                <c:pt idx="5">
                  <c:v>1.7</c:v>
                </c:pt>
                <c:pt idx="6">
                  <c:v>1.43</c:v>
                </c:pt>
                <c:pt idx="7">
                  <c:v>1.22</c:v>
                </c:pt>
                <c:pt idx="8">
                  <c:v>1.04</c:v>
                </c:pt>
                <c:pt idx="9">
                  <c:v>1</c:v>
                </c:pt>
                <c:pt idx="12">
                  <c:v>1</c:v>
                </c:pt>
                <c:pt idx="1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2B6-45C8-A5A1-505F6BCF41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80719"/>
        <c:axId val="1238981551"/>
      </c:lineChart>
      <c:lineChart>
        <c:grouping val="standard"/>
        <c:varyColors val="0"/>
        <c:ser>
          <c:idx val="2"/>
          <c:order val="2"/>
          <c:tx>
            <c:strRef>
              <c:f>Главная!$B$45</c:f>
              <c:strCache>
                <c:ptCount val="1"/>
                <c:pt idx="0">
                  <c:v>hГ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Главная!$C$45:$P$45</c:f>
              <c:numCache>
                <c:formatCode>0.00</c:formatCode>
                <c:ptCount val="14"/>
                <c:pt idx="0">
                  <c:v>0</c:v>
                </c:pt>
                <c:pt idx="1">
                  <c:v>0.33</c:v>
                </c:pt>
                <c:pt idx="2">
                  <c:v>0.57999999999999996</c:v>
                </c:pt>
                <c:pt idx="3">
                  <c:v>0.75</c:v>
                </c:pt>
                <c:pt idx="4">
                  <c:v>0.84</c:v>
                </c:pt>
                <c:pt idx="5">
                  <c:v>0.85</c:v>
                </c:pt>
                <c:pt idx="6">
                  <c:v>0.86</c:v>
                </c:pt>
                <c:pt idx="7">
                  <c:v>0.85</c:v>
                </c:pt>
                <c:pt idx="8">
                  <c:v>0.83</c:v>
                </c:pt>
                <c:pt idx="9">
                  <c:v>0.83</c:v>
                </c:pt>
                <c:pt idx="12">
                  <c:v>0.9</c:v>
                </c:pt>
                <c:pt idx="13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2B6-45C8-A5A1-505F6BCF41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93199"/>
        <c:axId val="1238986543"/>
      </c:lineChart>
      <c:catAx>
        <c:axId val="1238980719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1551"/>
        <c:crosses val="autoZero"/>
        <c:auto val="1"/>
        <c:lblAlgn val="ctr"/>
        <c:lblOffset val="100"/>
        <c:noMultiLvlLbl val="0"/>
      </c:catAx>
      <c:valAx>
        <c:axId val="1238981551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0719"/>
        <c:crosses val="autoZero"/>
        <c:crossBetween val="between"/>
      </c:valAx>
      <c:valAx>
        <c:axId val="1238986543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93199"/>
        <c:crosses val="max"/>
        <c:crossBetween val="between"/>
      </c:valAx>
      <c:catAx>
        <c:axId val="12389931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89865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ЗИЛ-111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Главная!$B$46</c:f>
              <c:strCache>
                <c:ptCount val="1"/>
                <c:pt idx="0">
                  <c:v>rlН</c:v>
                </c:pt>
              </c:strCache>
            </c:strRef>
          </c:tx>
          <c:spPr>
            <a:ln w="158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Главная!$C$46:$P$46</c:f>
              <c:numCache>
                <c:formatCode>0.00</c:formatCode>
                <c:ptCount val="14"/>
                <c:pt idx="0">
                  <c:v>5.0599999999999996</c:v>
                </c:pt>
                <c:pt idx="1">
                  <c:v>4.92</c:v>
                </c:pt>
                <c:pt idx="2">
                  <c:v>4.75</c:v>
                </c:pt>
                <c:pt idx="3">
                  <c:v>4.5</c:v>
                </c:pt>
                <c:pt idx="4">
                  <c:v>4.26</c:v>
                </c:pt>
                <c:pt idx="5">
                  <c:v>3.94</c:v>
                </c:pt>
                <c:pt idx="6">
                  <c:v>3.51</c:v>
                </c:pt>
                <c:pt idx="7">
                  <c:v>3</c:v>
                </c:pt>
                <c:pt idx="8">
                  <c:v>2.4</c:v>
                </c:pt>
                <c:pt idx="11">
                  <c:v>1.45</c:v>
                </c:pt>
                <c:pt idx="13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80-4E42-9D72-C10C86923A3F}"/>
            </c:ext>
          </c:extLst>
        </c:ser>
        <c:ser>
          <c:idx val="1"/>
          <c:order val="1"/>
          <c:tx>
            <c:strRef>
              <c:f>Главная!$B$47</c:f>
              <c:strCache>
                <c:ptCount val="1"/>
                <c:pt idx="0">
                  <c:v>КТ</c:v>
                </c:pt>
              </c:strCache>
            </c:strRef>
          </c:tx>
          <c:spPr>
            <a:ln w="158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Главная!$C$47:$P$47</c:f>
              <c:numCache>
                <c:formatCode>0.00</c:formatCode>
                <c:ptCount val="14"/>
                <c:pt idx="0">
                  <c:v>2.4500000000000002</c:v>
                </c:pt>
                <c:pt idx="1">
                  <c:v>2.2799999999999998</c:v>
                </c:pt>
                <c:pt idx="2">
                  <c:v>2.1</c:v>
                </c:pt>
                <c:pt idx="3">
                  <c:v>1.9</c:v>
                </c:pt>
                <c:pt idx="4">
                  <c:v>1.71</c:v>
                </c:pt>
                <c:pt idx="5">
                  <c:v>1.52</c:v>
                </c:pt>
                <c:pt idx="6">
                  <c:v>1.37</c:v>
                </c:pt>
                <c:pt idx="7">
                  <c:v>1.23</c:v>
                </c:pt>
                <c:pt idx="8">
                  <c:v>1.1100000000000001</c:v>
                </c:pt>
                <c:pt idx="11">
                  <c:v>1</c:v>
                </c:pt>
                <c:pt idx="1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80-4E42-9D72-C10C86923A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80719"/>
        <c:axId val="1238981551"/>
      </c:lineChart>
      <c:lineChart>
        <c:grouping val="standard"/>
        <c:varyColors val="0"/>
        <c:ser>
          <c:idx val="2"/>
          <c:order val="2"/>
          <c:tx>
            <c:strRef>
              <c:f>Главная!$B$48</c:f>
              <c:strCache>
                <c:ptCount val="1"/>
                <c:pt idx="0">
                  <c:v>hГ</c:v>
                </c:pt>
              </c:strCache>
            </c:strRef>
          </c:tx>
          <c:spPr>
            <a:ln w="158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Главная!$C$48:$P$48</c:f>
              <c:numCache>
                <c:formatCode>0.00</c:formatCode>
                <c:ptCount val="14"/>
                <c:pt idx="0">
                  <c:v>0</c:v>
                </c:pt>
                <c:pt idx="1">
                  <c:v>0.23</c:v>
                </c:pt>
                <c:pt idx="2">
                  <c:v>0.43</c:v>
                </c:pt>
                <c:pt idx="3">
                  <c:v>0.57999999999999996</c:v>
                </c:pt>
                <c:pt idx="4">
                  <c:v>0.68</c:v>
                </c:pt>
                <c:pt idx="5">
                  <c:v>0.76</c:v>
                </c:pt>
                <c:pt idx="6">
                  <c:v>0.82</c:v>
                </c:pt>
                <c:pt idx="7">
                  <c:v>0.86</c:v>
                </c:pt>
                <c:pt idx="8">
                  <c:v>0.88</c:v>
                </c:pt>
                <c:pt idx="11">
                  <c:v>0.89</c:v>
                </c:pt>
                <c:pt idx="13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80-4E42-9D72-C10C86923A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93199"/>
        <c:axId val="1238986543"/>
      </c:lineChart>
      <c:catAx>
        <c:axId val="12389807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1551"/>
        <c:crosses val="autoZero"/>
        <c:auto val="1"/>
        <c:lblAlgn val="ctr"/>
        <c:lblOffset val="100"/>
        <c:noMultiLvlLbl val="0"/>
      </c:catAx>
      <c:valAx>
        <c:axId val="12389815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0719"/>
        <c:crosses val="autoZero"/>
        <c:crossBetween val="between"/>
      </c:valAx>
      <c:valAx>
        <c:axId val="1238986543"/>
        <c:scaling>
          <c:orientation val="minMax"/>
        </c:scaling>
        <c:delete val="0"/>
        <c:axPos val="r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93199"/>
        <c:crosses val="max"/>
        <c:crossBetween val="between"/>
      </c:valAx>
      <c:catAx>
        <c:axId val="123899319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389865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М-21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Главная!$B$49</c:f>
              <c:strCache>
                <c:ptCount val="1"/>
                <c:pt idx="0">
                  <c:v>rlН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Главная!$C$49:$P$49</c:f>
              <c:numCache>
                <c:formatCode>0.00</c:formatCode>
                <c:ptCount val="14"/>
                <c:pt idx="0">
                  <c:v>4.62</c:v>
                </c:pt>
                <c:pt idx="1">
                  <c:v>4.5199999999999996</c:v>
                </c:pt>
                <c:pt idx="2">
                  <c:v>4.3499999999999996</c:v>
                </c:pt>
                <c:pt idx="3">
                  <c:v>4.13</c:v>
                </c:pt>
                <c:pt idx="4">
                  <c:v>3.95</c:v>
                </c:pt>
                <c:pt idx="5">
                  <c:v>3.72</c:v>
                </c:pt>
                <c:pt idx="6">
                  <c:v>3.39</c:v>
                </c:pt>
                <c:pt idx="7">
                  <c:v>2.93</c:v>
                </c:pt>
                <c:pt idx="8">
                  <c:v>2.4300000000000002</c:v>
                </c:pt>
                <c:pt idx="10">
                  <c:v>1.61</c:v>
                </c:pt>
                <c:pt idx="13">
                  <c:v>1.1299999999999999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E4-4776-BB44-F06E2876A3EE}"/>
            </c:ext>
          </c:extLst>
        </c:ser>
        <c:ser>
          <c:idx val="1"/>
          <c:order val="1"/>
          <c:tx>
            <c:strRef>
              <c:f>Главная!$B$50</c:f>
              <c:strCache>
                <c:ptCount val="1"/>
                <c:pt idx="0">
                  <c:v>КТ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Главная!$C$50:$P$50</c:f>
              <c:numCache>
                <c:formatCode>0.00</c:formatCode>
                <c:ptCount val="14"/>
                <c:pt idx="0">
                  <c:v>2.1</c:v>
                </c:pt>
                <c:pt idx="1">
                  <c:v>2</c:v>
                </c:pt>
                <c:pt idx="2">
                  <c:v>1.9</c:v>
                </c:pt>
                <c:pt idx="3">
                  <c:v>1.77</c:v>
                </c:pt>
                <c:pt idx="4">
                  <c:v>1.65</c:v>
                </c:pt>
                <c:pt idx="5">
                  <c:v>1.52</c:v>
                </c:pt>
                <c:pt idx="6">
                  <c:v>1.37</c:v>
                </c:pt>
                <c:pt idx="7">
                  <c:v>1.24</c:v>
                </c:pt>
                <c:pt idx="8">
                  <c:v>1.04</c:v>
                </c:pt>
                <c:pt idx="10">
                  <c:v>1</c:v>
                </c:pt>
                <c:pt idx="1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3E4-4776-BB44-F06E2876A3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80719"/>
        <c:axId val="1238981551"/>
      </c:lineChart>
      <c:lineChart>
        <c:grouping val="standard"/>
        <c:varyColors val="0"/>
        <c:ser>
          <c:idx val="2"/>
          <c:order val="2"/>
          <c:tx>
            <c:strRef>
              <c:f>Главная!$B$51</c:f>
              <c:strCache>
                <c:ptCount val="1"/>
                <c:pt idx="0">
                  <c:v>hГ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Главная!$C$24:$P$24</c:f>
              <c:strCache>
                <c:ptCount val="14"/>
                <c:pt idx="0">
                  <c:v>0,00</c:v>
                </c:pt>
                <c:pt idx="1">
                  <c:v>0,10</c:v>
                </c:pt>
                <c:pt idx="2">
                  <c:v>0,20</c:v>
                </c:pt>
                <c:pt idx="3">
                  <c:v>0,30</c:v>
                </c:pt>
                <c:pt idx="4">
                  <c:v>0,40</c:v>
                </c:pt>
                <c:pt idx="5">
                  <c:v>0,50</c:v>
                </c:pt>
                <c:pt idx="6">
                  <c:v>0,60</c:v>
                </c:pt>
                <c:pt idx="7">
                  <c:v>0,70</c:v>
                </c:pt>
                <c:pt idx="8">
                  <c:v>0,80</c:v>
                </c:pt>
                <c:pt idx="9">
                  <c:v>0,84</c:v>
                </c:pt>
                <c:pt idx="10">
                  <c:v>0,88</c:v>
                </c:pt>
                <c:pt idx="11">
                  <c:v>0.9</c:v>
                </c:pt>
                <c:pt idx="12">
                  <c:v>0,91</c:v>
                </c:pt>
                <c:pt idx="13">
                  <c:v>0.95</c:v>
                </c:pt>
              </c:strCache>
            </c:strRef>
          </c:cat>
          <c:val>
            <c:numRef>
              <c:f>Главная!$C$51:$P$51</c:f>
              <c:numCache>
                <c:formatCode>0.00</c:formatCode>
                <c:ptCount val="14"/>
                <c:pt idx="0">
                  <c:v>0</c:v>
                </c:pt>
                <c:pt idx="1">
                  <c:v>0.2</c:v>
                </c:pt>
                <c:pt idx="2">
                  <c:v>0.38</c:v>
                </c:pt>
                <c:pt idx="3">
                  <c:v>0.54</c:v>
                </c:pt>
                <c:pt idx="4">
                  <c:v>0.66</c:v>
                </c:pt>
                <c:pt idx="5">
                  <c:v>0.76</c:v>
                </c:pt>
                <c:pt idx="6">
                  <c:v>0.84</c:v>
                </c:pt>
                <c:pt idx="7">
                  <c:v>0.88</c:v>
                </c:pt>
                <c:pt idx="8">
                  <c:v>0.89</c:v>
                </c:pt>
                <c:pt idx="10">
                  <c:v>0.88</c:v>
                </c:pt>
                <c:pt idx="13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3E4-4776-BB44-F06E2876A3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993199"/>
        <c:axId val="1238986543"/>
      </c:lineChart>
      <c:catAx>
        <c:axId val="1238980719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1551"/>
        <c:crosses val="autoZero"/>
        <c:auto val="1"/>
        <c:lblAlgn val="ctr"/>
        <c:lblOffset val="100"/>
        <c:noMultiLvlLbl val="0"/>
      </c:catAx>
      <c:valAx>
        <c:axId val="1238981551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80719"/>
        <c:crosses val="autoZero"/>
        <c:crossBetween val="between"/>
      </c:valAx>
      <c:valAx>
        <c:axId val="1238986543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38993199"/>
        <c:crosses val="max"/>
        <c:crossBetween val="between"/>
      </c:valAx>
      <c:catAx>
        <c:axId val="12389931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89865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Момент от угл. ск-ти</c:v>
          </c:tx>
          <c:xVal>
            <c:numRef>
              <c:f>'Согласование ДВС и ГТК'!$A$2:$A$9</c:f>
              <c:numCache>
                <c:formatCode>0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'Согласование ДВС и ГТК'!$B$2:$B$9</c:f>
              <c:numCache>
                <c:formatCode>0.00</c:formatCode>
                <c:ptCount val="8"/>
                <c:pt idx="0">
                  <c:v>111.46913580246914</c:v>
                </c:pt>
                <c:pt idx="1">
                  <c:v>110.32595270890727</c:v>
                </c:pt>
                <c:pt idx="2">
                  <c:v>108.9977460555973</c:v>
                </c:pt>
                <c:pt idx="3">
                  <c:v>107.50207568105294</c:v>
                </c:pt>
                <c:pt idx="4">
                  <c:v>103.25167761531397</c:v>
                </c:pt>
                <c:pt idx="5">
                  <c:v>98.290305653942028</c:v>
                </c:pt>
                <c:pt idx="6">
                  <c:v>92.842707376798273</c:v>
                </c:pt>
                <c:pt idx="7">
                  <c:v>89.460317460317455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7B-4D91-BAB2-0187220A5064}"/>
            </c:ext>
          </c:extLst>
        </c:ser>
        <c:ser>
          <c:idx val="1"/>
          <c:order val="1"/>
          <c:tx>
            <c:v>1⁄i_Г0 </c:v>
          </c:tx>
          <c:xVal>
            <c:numRef>
              <c:f>'Согласование ДВС и ГТК'!$A$2:$A$9</c:f>
              <c:numCache>
                <c:formatCode>0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'Согласование ДВС и ГТК'!$G$2:$G$9</c:f>
              <c:numCache>
                <c:formatCode>0</c:formatCode>
                <c:ptCount val="8"/>
                <c:pt idx="0">
                  <c:v>110.74365615085974</c:v>
                </c:pt>
                <c:pt idx="1">
                  <c:v>136.72056314920957</c:v>
                </c:pt>
                <c:pt idx="2">
                  <c:v>165.43188141054355</c:v>
                </c:pt>
                <c:pt idx="3">
                  <c:v>196.87761093486176</c:v>
                </c:pt>
                <c:pt idx="4">
                  <c:v>231.05775172216414</c:v>
                </c:pt>
                <c:pt idx="5">
                  <c:v>267.97230377245074</c:v>
                </c:pt>
                <c:pt idx="6">
                  <c:v>307.62126708572151</c:v>
                </c:pt>
                <c:pt idx="7">
                  <c:v>339.15244696200796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47B-4D91-BAB2-0187220A5064}"/>
            </c:ext>
          </c:extLst>
        </c:ser>
        <c:ser>
          <c:idx val="2"/>
          <c:order val="2"/>
          <c:tx>
            <c:v>1⁄i_Г40 </c:v>
          </c:tx>
          <c:xVal>
            <c:numRef>
              <c:f>'Согласование ДВС и ГТК'!$A$2:$A$9</c:f>
              <c:numCache>
                <c:formatCode>0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'Согласование ДВС и ГТК'!$H$2:$H$9</c:f>
              <c:numCache>
                <c:formatCode>0</c:formatCode>
                <c:ptCount val="8"/>
                <c:pt idx="0">
                  <c:v>93.234777708036063</c:v>
                </c:pt>
                <c:pt idx="1">
                  <c:v>115.10466383708156</c:v>
                </c:pt>
                <c:pt idx="2">
                  <c:v>139.27664324286869</c:v>
                </c:pt>
                <c:pt idx="3">
                  <c:v>165.75071592539746</c:v>
                </c:pt>
                <c:pt idx="4">
                  <c:v>194.52688188466783</c:v>
                </c:pt>
                <c:pt idx="5">
                  <c:v>225.60514112067986</c:v>
                </c:pt>
                <c:pt idx="6">
                  <c:v>258.98549363343352</c:v>
                </c:pt>
                <c:pt idx="7">
                  <c:v>285.53150673086043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47B-4D91-BAB2-0187220A5064}"/>
            </c:ext>
          </c:extLst>
        </c:ser>
        <c:ser>
          <c:idx val="3"/>
          <c:order val="3"/>
          <c:tx>
            <c:v>1⁄i_Гη </c:v>
          </c:tx>
          <c:xVal>
            <c:numRef>
              <c:f>'Согласование ДВС и ГТК'!$A$2:$A$9</c:f>
              <c:numCache>
                <c:formatCode>0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'Согласование ДВС и ГТК'!$I$2:$I$9</c:f>
              <c:numCache>
                <c:formatCode>0</c:formatCode>
                <c:ptCount val="8"/>
                <c:pt idx="0">
                  <c:v>86.231226330906594</c:v>
                </c:pt>
                <c:pt idx="1">
                  <c:v>106.45830411223037</c:v>
                </c:pt>
                <c:pt idx="2">
                  <c:v>128.81454797579875</c:v>
                </c:pt>
                <c:pt idx="3">
                  <c:v>153.29995792161174</c:v>
                </c:pt>
                <c:pt idx="4">
                  <c:v>179.91453394966933</c:v>
                </c:pt>
                <c:pt idx="5">
                  <c:v>208.65827605997151</c:v>
                </c:pt>
                <c:pt idx="6">
                  <c:v>239.53118425251833</c:v>
                </c:pt>
                <c:pt idx="7">
                  <c:v>264.08313063840143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47B-4D91-BAB2-0187220A5064}"/>
            </c:ext>
          </c:extLst>
        </c:ser>
        <c:ser>
          <c:idx val="4"/>
          <c:order val="4"/>
          <c:tx>
            <c:v>1⁄i_Гмакс </c:v>
          </c:tx>
          <c:xVal>
            <c:numRef>
              <c:f>'Согласование ДВС и ГТК'!$A$2:$A$9</c:f>
              <c:numCache>
                <c:formatCode>0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'Согласование ДВС и ГТК'!$J$2:$J$9</c:f>
              <c:numCache>
                <c:formatCode>0</c:formatCode>
                <c:ptCount val="8"/>
                <c:pt idx="0">
                  <c:v>65.658294160588781</c:v>
                </c:pt>
                <c:pt idx="1">
                  <c:v>81.059622420479968</c:v>
                </c:pt>
                <c:pt idx="2">
                  <c:v>98.082143128780771</c:v>
                </c:pt>
                <c:pt idx="3">
                  <c:v>116.72585628549116</c:v>
                </c:pt>
                <c:pt idx="4">
                  <c:v>136.99076189061117</c:v>
                </c:pt>
                <c:pt idx="5">
                  <c:v>158.87685994414076</c:v>
                </c:pt>
                <c:pt idx="6">
                  <c:v>182.38415044607996</c:v>
                </c:pt>
                <c:pt idx="7">
                  <c:v>201.07852586680315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47B-4D91-BAB2-0187220A5064}"/>
            </c:ext>
          </c:extLst>
        </c:ser>
        <c:ser>
          <c:idx val="5"/>
          <c:order val="5"/>
          <c:tx>
            <c:v>1⁄i_ГС </c:v>
          </c:tx>
          <c:xVal>
            <c:numRef>
              <c:f>'Согласование ДВС и ГТК'!$A$2:$A$9</c:f>
              <c:numCache>
                <c:formatCode>0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'Согласование ДВС и ГТК'!$K$2:$K$9</c:f>
              <c:numCache>
                <c:formatCode>0</c:formatCode>
                <c:ptCount val="8"/>
                <c:pt idx="0">
                  <c:v>31.734842177617914</c:v>
                </c:pt>
                <c:pt idx="1">
                  <c:v>39.17881750323199</c:v>
                </c:pt>
                <c:pt idx="2">
                  <c:v>47.406369178910708</c:v>
                </c:pt>
                <c:pt idx="3">
                  <c:v>56.417497204654069</c:v>
                </c:pt>
                <c:pt idx="4">
                  <c:v>66.212201580462064</c:v>
                </c:pt>
                <c:pt idx="5">
                  <c:v>76.79048230633471</c:v>
                </c:pt>
                <c:pt idx="6">
                  <c:v>88.152339382271975</c:v>
                </c:pt>
                <c:pt idx="7">
                  <c:v>97.18795416895486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47B-4D91-BAB2-0187220A5064}"/>
            </c:ext>
          </c:extLst>
        </c:ser>
        <c:ser>
          <c:idx val="6"/>
          <c:order val="6"/>
          <c:tx>
            <c:v>1⁄i_Г95 </c:v>
          </c:tx>
          <c:xVal>
            <c:numRef>
              <c:f>'Согласование ДВС и ГТК'!$A$2:$A$9</c:f>
              <c:numCache>
                <c:formatCode>0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'Согласование ДВС и ГТК'!$L$2:$L$9</c:f>
              <c:numCache>
                <c:formatCode>0</c:formatCode>
                <c:ptCount val="8"/>
                <c:pt idx="0">
                  <c:v>19.259766287106046</c:v>
                </c:pt>
                <c:pt idx="1">
                  <c:v>23.777489243340796</c:v>
                </c:pt>
                <c:pt idx="2">
                  <c:v>28.770761984442363</c:v>
                </c:pt>
                <c:pt idx="3">
                  <c:v>34.239584510410744</c:v>
                </c:pt>
                <c:pt idx="4">
                  <c:v>40.183956821245943</c:v>
                </c:pt>
                <c:pt idx="5">
                  <c:v>46.603878916947963</c:v>
                </c:pt>
                <c:pt idx="6">
                  <c:v>53.49935079751679</c:v>
                </c:pt>
                <c:pt idx="7">
                  <c:v>58.983034254262265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47B-4D91-BAB2-0187220A50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354048"/>
        <c:axId val="218355968"/>
      </c:scatterChart>
      <c:valAx>
        <c:axId val="218354048"/>
        <c:scaling>
          <c:orientation val="minMax"/>
          <c:min val="36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l-GR"/>
                  <a:t>ω</a:t>
                </a:r>
                <a:r>
                  <a:rPr lang="ru-RU"/>
                  <a:t>д, рад/с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crossAx val="218355968"/>
        <c:crosses val="autoZero"/>
        <c:crossBetween val="midCat"/>
        <c:majorUnit val="10"/>
      </c:valAx>
      <c:valAx>
        <c:axId val="218355968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ru-RU"/>
                  <a:t>Мд, Н*м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18354048"/>
        <c:crosses val="autoZero"/>
        <c:crossBetween val="midCat"/>
        <c:majorUnit val="1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Динамическая</a:t>
            </a:r>
            <a:r>
              <a:rPr lang="ru-RU" baseline="0"/>
              <a:t> характеристика автомобиля с гидромеханической трансмиссийей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Главная!#REF!</c:f>
            </c:numRef>
          </c:xVal>
          <c:yVal>
            <c:numRef>
              <c:f>Главная!#REF!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Главная!#REF!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8FDD-4743-BEFE-B0AD145FDEFB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Главная!#REF!</c:f>
            </c:numRef>
          </c:xVal>
          <c:yVal>
            <c:numRef>
              <c:f>Главная!#REF!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Главная!#REF!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8FDD-4743-BEFE-B0AD145FDEFB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Главная!#REF!</c:f>
            </c:numRef>
          </c:xVal>
          <c:yVal>
            <c:numRef>
              <c:f>Главная!#REF!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Главная!#REF!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8FDD-4743-BEFE-B0AD145FDEF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83789280"/>
        <c:axId val="183794272"/>
      </c:scatterChart>
      <c:valAx>
        <c:axId val="183789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 </a:t>
                </a:r>
                <a:r>
                  <a:rPr lang="ru-RU"/>
                  <a:t>м/с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83794272"/>
        <c:crosses val="autoZero"/>
        <c:crossBetween val="midCat"/>
      </c:valAx>
      <c:valAx>
        <c:axId val="18379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</a:t>
                </a:r>
                <a:endParaRPr lang="ru-RU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83789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Ne</c:v>
          </c:tx>
          <c:marker>
            <c:symbol val="none"/>
          </c:marker>
          <c:xVal>
            <c:numRef>
              <c:f>'Х-ка ДВС'!$B$4:$B$11</c:f>
              <c:numCache>
                <c:formatCode>General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'Х-ка ДВС'!$C$4:$C$11</c:f>
              <c:numCache>
                <c:formatCode>General</c:formatCode>
                <c:ptCount val="8"/>
                <c:pt idx="0">
                  <c:v>44</c:v>
                </c:pt>
                <c:pt idx="1">
                  <c:v>49</c:v>
                </c:pt>
                <c:pt idx="2">
                  <c:v>54</c:v>
                </c:pt>
                <c:pt idx="3">
                  <c:v>59</c:v>
                </c:pt>
                <c:pt idx="4">
                  <c:v>62</c:v>
                </c:pt>
                <c:pt idx="5">
                  <c:v>64</c:v>
                </c:pt>
                <c:pt idx="6">
                  <c:v>65</c:v>
                </c:pt>
                <c:pt idx="7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F19-4737-9B8E-8F51D4A222F1}"/>
            </c:ext>
          </c:extLst>
        </c:ser>
        <c:ser>
          <c:idx val="1"/>
          <c:order val="1"/>
          <c:tx>
            <c:v>Nд</c:v>
          </c:tx>
          <c:marker>
            <c:symbol val="none"/>
          </c:marker>
          <c:xVal>
            <c:numRef>
              <c:f>'Х-ка ДВС'!$B$4:$B$11</c:f>
              <c:numCache>
                <c:formatCode>General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'Х-ка ДВС'!$K$4:$K$11</c:f>
              <c:numCache>
                <c:formatCode>General</c:formatCode>
                <c:ptCount val="8"/>
                <c:pt idx="0">
                  <c:v>40.128888888888888</c:v>
                </c:pt>
                <c:pt idx="1">
                  <c:v>44.130381083562902</c:v>
                </c:pt>
                <c:pt idx="2">
                  <c:v>47.95900826446281</c:v>
                </c:pt>
                <c:pt idx="3">
                  <c:v>51.600996326905417</c:v>
                </c:pt>
                <c:pt idx="4">
                  <c:v>53.690872359963265</c:v>
                </c:pt>
                <c:pt idx="5">
                  <c:v>55.04257116620753</c:v>
                </c:pt>
                <c:pt idx="6">
                  <c:v>55.70562442607897</c:v>
                </c:pt>
                <c:pt idx="7">
                  <c:v>56.36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F19-4737-9B8E-8F51D4A222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9558656"/>
        <c:axId val="219560576"/>
      </c:scatterChart>
      <c:valAx>
        <c:axId val="219558656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l-GR"/>
                  <a:t>ω</a:t>
                </a:r>
                <a:r>
                  <a:rPr lang="ru-RU"/>
                  <a:t>, рад/с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9560576"/>
        <c:crosses val="autoZero"/>
        <c:crossBetween val="midCat"/>
      </c:valAx>
      <c:valAx>
        <c:axId val="219560576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N</a:t>
                </a:r>
                <a:r>
                  <a:rPr lang="ru-RU"/>
                  <a:t>,</a:t>
                </a:r>
                <a:r>
                  <a:rPr lang="ru-RU" baseline="0"/>
                  <a:t> кВт</a:t>
                </a:r>
                <a:endParaRPr lang="ru-RU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955865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Me</c:v>
          </c:tx>
          <c:marker>
            <c:symbol val="none"/>
          </c:marker>
          <c:xVal>
            <c:numRef>
              <c:f>'Х-ка ДВС'!$B$4:$B$11</c:f>
              <c:numCache>
                <c:formatCode>General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'Х-ка ДВС'!$D$4:$D$11</c:f>
              <c:numCache>
                <c:formatCode>General</c:formatCode>
                <c:ptCount val="8"/>
                <c:pt idx="0">
                  <c:v>123</c:v>
                </c:pt>
                <c:pt idx="1">
                  <c:v>124</c:v>
                </c:pt>
                <c:pt idx="2">
                  <c:v>124</c:v>
                </c:pt>
                <c:pt idx="3">
                  <c:v>123</c:v>
                </c:pt>
                <c:pt idx="4">
                  <c:v>120</c:v>
                </c:pt>
                <c:pt idx="5">
                  <c:v>115</c:v>
                </c:pt>
                <c:pt idx="6">
                  <c:v>109</c:v>
                </c:pt>
                <c:pt idx="7">
                  <c:v>102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40D-4103-AB59-A591EE4D7C23}"/>
            </c:ext>
          </c:extLst>
        </c:ser>
        <c:ser>
          <c:idx val="1"/>
          <c:order val="1"/>
          <c:tx>
            <c:v>Mд</c:v>
          </c:tx>
          <c:marker>
            <c:symbol val="none"/>
          </c:marker>
          <c:xVal>
            <c:numRef>
              <c:f>'Х-ка ДВС'!$B$4:$B$11</c:f>
              <c:numCache>
                <c:formatCode>General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'Х-ка ДВС'!$L$4:$L$11</c:f>
              <c:numCache>
                <c:formatCode>General</c:formatCode>
                <c:ptCount val="8"/>
                <c:pt idx="0">
                  <c:v>111.46913580246914</c:v>
                </c:pt>
                <c:pt idx="1">
                  <c:v>110.32595270890727</c:v>
                </c:pt>
                <c:pt idx="2">
                  <c:v>108.9977460555973</c:v>
                </c:pt>
                <c:pt idx="3">
                  <c:v>107.50207568105294</c:v>
                </c:pt>
                <c:pt idx="4">
                  <c:v>103.25167761531397</c:v>
                </c:pt>
                <c:pt idx="5">
                  <c:v>98.290305653942028</c:v>
                </c:pt>
                <c:pt idx="6">
                  <c:v>92.842707376798273</c:v>
                </c:pt>
                <c:pt idx="7">
                  <c:v>89.460317460317455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40D-4103-AB59-A591EE4D7C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9577728"/>
        <c:axId val="219592192"/>
      </c:scatterChart>
      <c:valAx>
        <c:axId val="219577728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l-GR"/>
                  <a:t>ω</a:t>
                </a:r>
                <a:r>
                  <a:rPr lang="ru-RU"/>
                  <a:t>, рад/с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9592192"/>
        <c:crosses val="autoZero"/>
        <c:crossBetween val="midCat"/>
      </c:valAx>
      <c:valAx>
        <c:axId val="219592192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ru-RU"/>
                  <a:t>М,</a:t>
                </a:r>
                <a:r>
                  <a:rPr lang="ru-RU" baseline="0"/>
                  <a:t> Н*м</a:t>
                </a:r>
                <a:endParaRPr lang="ru-RU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957772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[1]Лист1!$B$3</c:f>
              <c:strCache>
                <c:ptCount val="1"/>
                <c:pt idx="0">
                  <c:v>ρλн</c:v>
                </c:pt>
              </c:strCache>
            </c:strRef>
          </c:tx>
          <c:xVal>
            <c:numRef>
              <c:f>[1]Лист1!$C$2:$P$2</c:f>
              <c:numCache>
                <c:formatCode>General</c:formatCode>
                <c:ptCount val="14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0.83</c:v>
                </c:pt>
                <c:pt idx="10">
                  <c:v>0.88</c:v>
                </c:pt>
                <c:pt idx="11">
                  <c:v>0.89</c:v>
                </c:pt>
                <c:pt idx="12">
                  <c:v>0.9</c:v>
                </c:pt>
                <c:pt idx="13">
                  <c:v>0.95</c:v>
                </c:pt>
              </c:numCache>
            </c:numRef>
          </c:xVal>
          <c:yVal>
            <c:numRef>
              <c:f>[1]Лист1!$C$3:$P$3</c:f>
              <c:numCache>
                <c:formatCode>General</c:formatCode>
                <c:ptCount val="14"/>
                <c:pt idx="0">
                  <c:v>5.0599999999999996</c:v>
                </c:pt>
                <c:pt idx="1">
                  <c:v>4.92</c:v>
                </c:pt>
                <c:pt idx="2">
                  <c:v>4.75</c:v>
                </c:pt>
                <c:pt idx="3">
                  <c:v>4.5</c:v>
                </c:pt>
                <c:pt idx="4">
                  <c:v>4.26</c:v>
                </c:pt>
                <c:pt idx="5">
                  <c:v>3.94</c:v>
                </c:pt>
                <c:pt idx="6">
                  <c:v>3.51</c:v>
                </c:pt>
                <c:pt idx="7">
                  <c:v>3</c:v>
                </c:pt>
                <c:pt idx="8">
                  <c:v>2.4</c:v>
                </c:pt>
                <c:pt idx="11">
                  <c:v>1.45</c:v>
                </c:pt>
                <c:pt idx="13">
                  <c:v>0.88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5B1-4781-B026-B77615CE2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9732224"/>
        <c:axId val="219414912"/>
      </c:scatterChart>
      <c:valAx>
        <c:axId val="219732224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1/i</a:t>
                </a:r>
                <a:r>
                  <a:rPr lang="ru-RU"/>
                  <a:t>г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9414912"/>
        <c:crosses val="autoZero"/>
        <c:crossBetween val="midCat"/>
      </c:valAx>
      <c:valAx>
        <c:axId val="219414912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l-GR"/>
                  <a:t>ρλ</a:t>
                </a:r>
                <a:r>
                  <a:rPr lang="ru-RU"/>
                  <a:t>н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97322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800" b="1" i="0" baseline="0">
                <a:effectLst/>
              </a:rPr>
              <a:t>Кт и </a:t>
            </a:r>
            <a:r>
              <a:rPr lang="el-GR" sz="1800" b="1" i="0" baseline="0">
                <a:effectLst/>
              </a:rPr>
              <a:t>η</a:t>
            </a:r>
            <a:r>
              <a:rPr lang="ru-RU" sz="1800" b="1" i="0" baseline="0">
                <a:effectLst/>
              </a:rPr>
              <a:t>г</a:t>
            </a:r>
            <a:endParaRPr lang="ru-RU">
              <a:effectLst/>
            </a:endParaRP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strRef>
              <c:f>[1]Лист1!$B$4</c:f>
              <c:strCache>
                <c:ptCount val="1"/>
                <c:pt idx="0">
                  <c:v>Кт</c:v>
                </c:pt>
              </c:strCache>
            </c:strRef>
          </c:tx>
          <c:xVal>
            <c:numRef>
              <c:f>[1]Лист1!$C$2:$P$2</c:f>
              <c:numCache>
                <c:formatCode>General</c:formatCode>
                <c:ptCount val="14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0.83</c:v>
                </c:pt>
                <c:pt idx="10">
                  <c:v>0.88</c:v>
                </c:pt>
                <c:pt idx="11">
                  <c:v>0.89</c:v>
                </c:pt>
                <c:pt idx="12">
                  <c:v>0.9</c:v>
                </c:pt>
                <c:pt idx="13">
                  <c:v>0.95</c:v>
                </c:pt>
              </c:numCache>
            </c:numRef>
          </c:xVal>
          <c:yVal>
            <c:numRef>
              <c:f>[1]Лист1!$C$4:$P$4</c:f>
              <c:numCache>
                <c:formatCode>General</c:formatCode>
                <c:ptCount val="14"/>
                <c:pt idx="0">
                  <c:v>2.4500000000000002</c:v>
                </c:pt>
                <c:pt idx="1">
                  <c:v>2.2799999999999998</c:v>
                </c:pt>
                <c:pt idx="2">
                  <c:v>2.1</c:v>
                </c:pt>
                <c:pt idx="3">
                  <c:v>1.9</c:v>
                </c:pt>
                <c:pt idx="4">
                  <c:v>1.71</c:v>
                </c:pt>
                <c:pt idx="5">
                  <c:v>1.52</c:v>
                </c:pt>
                <c:pt idx="6">
                  <c:v>1.37</c:v>
                </c:pt>
                <c:pt idx="7">
                  <c:v>1.23</c:v>
                </c:pt>
                <c:pt idx="8">
                  <c:v>1.1100000000000001</c:v>
                </c:pt>
                <c:pt idx="11">
                  <c:v>1</c:v>
                </c:pt>
                <c:pt idx="13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A8A-4AC9-96F5-D829D1255E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9465984"/>
        <c:axId val="219476352"/>
      </c:scatterChart>
      <c:scatterChart>
        <c:scatterStyle val="smoothMarker"/>
        <c:varyColors val="0"/>
        <c:ser>
          <c:idx val="0"/>
          <c:order val="0"/>
          <c:tx>
            <c:strRef>
              <c:f>[1]Лист1!$B$5</c:f>
              <c:strCache>
                <c:ptCount val="1"/>
                <c:pt idx="0">
                  <c:v>ηг</c:v>
                </c:pt>
              </c:strCache>
            </c:strRef>
          </c:tx>
          <c:xVal>
            <c:numRef>
              <c:f>[1]Лист1!$C$2:$P$2</c:f>
              <c:numCache>
                <c:formatCode>General</c:formatCode>
                <c:ptCount val="14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0.83</c:v>
                </c:pt>
                <c:pt idx="10">
                  <c:v>0.88</c:v>
                </c:pt>
                <c:pt idx="11">
                  <c:v>0.89</c:v>
                </c:pt>
                <c:pt idx="12">
                  <c:v>0.9</c:v>
                </c:pt>
                <c:pt idx="13">
                  <c:v>0.95</c:v>
                </c:pt>
              </c:numCache>
            </c:numRef>
          </c:xVal>
          <c:yVal>
            <c:numRef>
              <c:f>[1]Лист1!$C$5:$P$5</c:f>
              <c:numCache>
                <c:formatCode>General</c:formatCode>
                <c:ptCount val="14"/>
                <c:pt idx="0">
                  <c:v>0</c:v>
                </c:pt>
                <c:pt idx="1">
                  <c:v>0.23</c:v>
                </c:pt>
                <c:pt idx="2">
                  <c:v>0.43</c:v>
                </c:pt>
                <c:pt idx="3">
                  <c:v>0.57999999999999996</c:v>
                </c:pt>
                <c:pt idx="4">
                  <c:v>0.68</c:v>
                </c:pt>
                <c:pt idx="5">
                  <c:v>0.76</c:v>
                </c:pt>
                <c:pt idx="6">
                  <c:v>0.82</c:v>
                </c:pt>
                <c:pt idx="7">
                  <c:v>0.86</c:v>
                </c:pt>
                <c:pt idx="8">
                  <c:v>0.88</c:v>
                </c:pt>
                <c:pt idx="11">
                  <c:v>0.89</c:v>
                </c:pt>
                <c:pt idx="13">
                  <c:v>0.95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A8A-4AC9-96F5-D829D1255E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9480064"/>
        <c:axId val="219478272"/>
      </c:scatterChart>
      <c:valAx>
        <c:axId val="219465984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1/i</a:t>
                </a:r>
                <a:r>
                  <a:rPr lang="ru-RU"/>
                  <a:t>г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9476352"/>
        <c:crosses val="autoZero"/>
        <c:crossBetween val="midCat"/>
      </c:valAx>
      <c:valAx>
        <c:axId val="219476352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l-GR"/>
                  <a:t>η</a:t>
                </a:r>
                <a:r>
                  <a:rPr lang="ru-RU"/>
                  <a:t>г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9465984"/>
        <c:crosses val="autoZero"/>
        <c:crossBetween val="midCat"/>
      </c:valAx>
      <c:valAx>
        <c:axId val="2194782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19480064"/>
        <c:crosses val="max"/>
        <c:crossBetween val="midCat"/>
      </c:valAx>
      <c:valAx>
        <c:axId val="2194800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947827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1"/>
          <c:tx>
            <c:strRef>
              <c:f>'Выходная х-ка силового агрегата'!$A$1</c:f>
              <c:strCache>
                <c:ptCount val="1"/>
                <c:pt idx="0">
                  <c:v>Мт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square"/>
            <c:size val="7"/>
            <c:spPr>
              <a:solidFill>
                <a:srgbClr val="FFC000"/>
              </a:solidFill>
              <a:ln>
                <a:solidFill>
                  <a:srgbClr val="FFC000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'Выходная х-ка силового агрегата'!$C$2:$C$8</c:f>
              <c:numCache>
                <c:formatCode>0.00</c:formatCode>
                <c:ptCount val="7"/>
                <c:pt idx="0">
                  <c:v>0</c:v>
                </c:pt>
                <c:pt idx="1">
                  <c:v>114.47699999999999</c:v>
                </c:pt>
                <c:pt idx="2">
                  <c:v>156.70000000000002</c:v>
                </c:pt>
                <c:pt idx="3">
                  <c:v>203.3</c:v>
                </c:pt>
                <c:pt idx="4">
                  <c:v>322.92399999999998</c:v>
                </c:pt>
                <c:pt idx="5">
                  <c:v>550.25099999999998</c:v>
                </c:pt>
                <c:pt idx="6">
                  <c:v>598.5</c:v>
                </c:pt>
              </c:numCache>
            </c:numRef>
          </c:xVal>
          <c:yVal>
            <c:numRef>
              <c:f>'Выходная х-ка силового агрегата'!$A$2:$A$8</c:f>
              <c:numCache>
                <c:formatCode>0.00</c:formatCode>
                <c:ptCount val="7"/>
                <c:pt idx="0">
                  <c:v>272.93</c:v>
                </c:pt>
                <c:pt idx="1">
                  <c:v>210.72899999999998</c:v>
                </c:pt>
                <c:pt idx="2">
                  <c:v>188.83530000000002</c:v>
                </c:pt>
                <c:pt idx="3">
                  <c:v>167.124</c:v>
                </c:pt>
                <c:pt idx="4">
                  <c:v>120.44610000000002</c:v>
                </c:pt>
                <c:pt idx="5">
                  <c:v>91.7</c:v>
                </c:pt>
                <c:pt idx="6">
                  <c:v>59.04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955-475D-833A-0747DE852B0D}"/>
            </c:ext>
          </c:extLst>
        </c:ser>
        <c:dLbls>
          <c:dLblPos val="r"/>
          <c:showLegendKey val="0"/>
          <c:showVal val="1"/>
          <c:showCatName val="0"/>
          <c:showSerName val="0"/>
          <c:showPercent val="0"/>
          <c:showBubbleSize val="0"/>
        </c:dLbls>
        <c:axId val="217314816"/>
        <c:axId val="217316736"/>
      </c:scatterChart>
      <c:scatterChart>
        <c:scatterStyle val="smoothMarker"/>
        <c:varyColors val="0"/>
        <c:ser>
          <c:idx val="0"/>
          <c:order val="0"/>
          <c:tx>
            <c:strRef>
              <c:f>'Выходная х-ка силового агрегата'!$B$1</c:f>
              <c:strCache>
                <c:ptCount val="1"/>
                <c:pt idx="0">
                  <c:v>ηг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'Выходная х-ка силового агрегата'!$C$2:$C$8</c:f>
              <c:numCache>
                <c:formatCode>0.00</c:formatCode>
                <c:ptCount val="7"/>
                <c:pt idx="0">
                  <c:v>0</c:v>
                </c:pt>
                <c:pt idx="1">
                  <c:v>114.47699999999999</c:v>
                </c:pt>
                <c:pt idx="2">
                  <c:v>156.70000000000002</c:v>
                </c:pt>
                <c:pt idx="3">
                  <c:v>203.3</c:v>
                </c:pt>
                <c:pt idx="4">
                  <c:v>322.92399999999998</c:v>
                </c:pt>
                <c:pt idx="5">
                  <c:v>550.25099999999998</c:v>
                </c:pt>
                <c:pt idx="6">
                  <c:v>598.5</c:v>
                </c:pt>
              </c:numCache>
            </c:numRef>
          </c:xVal>
          <c:yVal>
            <c:numRef>
              <c:f>'Выходная х-ка силового агрегата'!$B$2:$B$8</c:f>
              <c:numCache>
                <c:formatCode>0.00</c:formatCode>
                <c:ptCount val="7"/>
                <c:pt idx="0">
                  <c:v>0</c:v>
                </c:pt>
                <c:pt idx="1">
                  <c:v>0.57999999999999996</c:v>
                </c:pt>
                <c:pt idx="2">
                  <c:v>0.68</c:v>
                </c:pt>
                <c:pt idx="3">
                  <c:v>0.76</c:v>
                </c:pt>
                <c:pt idx="4">
                  <c:v>0.88</c:v>
                </c:pt>
                <c:pt idx="5">
                  <c:v>0.89</c:v>
                </c:pt>
                <c:pt idx="6">
                  <c:v>0.95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955-475D-833A-0747DE852B0D}"/>
            </c:ext>
          </c:extLst>
        </c:ser>
        <c:dLbls>
          <c:dLblPos val="r"/>
          <c:showLegendKey val="0"/>
          <c:showVal val="1"/>
          <c:showCatName val="0"/>
          <c:showSerName val="0"/>
          <c:showPercent val="0"/>
          <c:showBubbleSize val="0"/>
        </c:dLbls>
        <c:axId val="217984384"/>
        <c:axId val="217982464"/>
      </c:scatterChart>
      <c:valAx>
        <c:axId val="217314816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 sz="1000" b="1" i="0" baseline="0">
                    <a:effectLst/>
                  </a:rPr>
                  <a:t>ω</a:t>
                </a:r>
                <a:r>
                  <a:rPr lang="ru-RU" sz="1000" b="1" i="0" baseline="0">
                    <a:effectLst/>
                  </a:rPr>
                  <a:t>т, рад/с</a:t>
                </a:r>
                <a:endParaRPr lang="ru-RU" sz="1000">
                  <a:effectLst/>
                </a:endParaRP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17316736"/>
        <c:crosses val="autoZero"/>
        <c:crossBetween val="midCat"/>
      </c:valAx>
      <c:valAx>
        <c:axId val="217316736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ru-RU" sz="1000" b="1" i="0" baseline="0">
                    <a:effectLst/>
                  </a:rPr>
                  <a:t>Мт, Н*м</a:t>
                </a:r>
                <a:endParaRPr lang="ru-RU" sz="1000">
                  <a:effectLst/>
                </a:endParaRP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17314816"/>
        <c:crosses val="autoZero"/>
        <c:crossBetween val="midCat"/>
      </c:valAx>
      <c:valAx>
        <c:axId val="217982464"/>
        <c:scaling>
          <c:orientation val="minMax"/>
        </c:scaling>
        <c:delete val="0"/>
        <c:axPos val="r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l-GR"/>
                  <a:t>η</a:t>
                </a:r>
                <a:r>
                  <a:rPr lang="ru-RU"/>
                  <a:t>г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17984384"/>
        <c:crosses val="max"/>
        <c:crossBetween val="midCat"/>
      </c:valAx>
      <c:valAx>
        <c:axId val="217984384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217982464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Момент от угл. ск-ти</c:v>
          </c:tx>
          <c:xVal>
            <c:numRef>
              <c:f>'Согласование ДВС и ГТК'!$A$2:$A$9</c:f>
              <c:numCache>
                <c:formatCode>0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'Согласование ДВС и ГТК'!$B$2:$B$9</c:f>
              <c:numCache>
                <c:formatCode>0.00</c:formatCode>
                <c:ptCount val="8"/>
                <c:pt idx="0">
                  <c:v>111.46913580246914</c:v>
                </c:pt>
                <c:pt idx="1">
                  <c:v>110.32595270890727</c:v>
                </c:pt>
                <c:pt idx="2">
                  <c:v>108.9977460555973</c:v>
                </c:pt>
                <c:pt idx="3">
                  <c:v>107.50207568105294</c:v>
                </c:pt>
                <c:pt idx="4">
                  <c:v>103.25167761531397</c:v>
                </c:pt>
                <c:pt idx="5">
                  <c:v>98.290305653942028</c:v>
                </c:pt>
                <c:pt idx="6">
                  <c:v>92.842707376798273</c:v>
                </c:pt>
                <c:pt idx="7">
                  <c:v>89.460317460317455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CC7-4988-A320-0DB7D5B84B34}"/>
            </c:ext>
          </c:extLst>
        </c:ser>
        <c:ser>
          <c:idx val="1"/>
          <c:order val="1"/>
          <c:tx>
            <c:v>1⁄i_Г0 </c:v>
          </c:tx>
          <c:xVal>
            <c:numRef>
              <c:f>'Согласование ДВС и ГТК'!$A$2:$A$9</c:f>
              <c:numCache>
                <c:formatCode>0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'Согласование ДВС и ГТК'!$G$2:$G$9</c:f>
              <c:numCache>
                <c:formatCode>0</c:formatCode>
                <c:ptCount val="8"/>
                <c:pt idx="0">
                  <c:v>110.74365615085974</c:v>
                </c:pt>
                <c:pt idx="1">
                  <c:v>136.72056314920957</c:v>
                </c:pt>
                <c:pt idx="2">
                  <c:v>165.43188141054355</c:v>
                </c:pt>
                <c:pt idx="3">
                  <c:v>196.87761093486176</c:v>
                </c:pt>
                <c:pt idx="4">
                  <c:v>231.05775172216414</c:v>
                </c:pt>
                <c:pt idx="5">
                  <c:v>267.97230377245074</c:v>
                </c:pt>
                <c:pt idx="6">
                  <c:v>307.62126708572151</c:v>
                </c:pt>
                <c:pt idx="7">
                  <c:v>339.15244696200796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CC7-4988-A320-0DB7D5B84B34}"/>
            </c:ext>
          </c:extLst>
        </c:ser>
        <c:ser>
          <c:idx val="2"/>
          <c:order val="2"/>
          <c:tx>
            <c:v>1⁄i_Г40 </c:v>
          </c:tx>
          <c:xVal>
            <c:numRef>
              <c:f>'Согласование ДВС и ГТК'!$A$2:$A$9</c:f>
              <c:numCache>
                <c:formatCode>0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'Согласование ДВС и ГТК'!$H$2:$H$9</c:f>
              <c:numCache>
                <c:formatCode>0</c:formatCode>
                <c:ptCount val="8"/>
                <c:pt idx="0">
                  <c:v>93.234777708036063</c:v>
                </c:pt>
                <c:pt idx="1">
                  <c:v>115.10466383708156</c:v>
                </c:pt>
                <c:pt idx="2">
                  <c:v>139.27664324286869</c:v>
                </c:pt>
                <c:pt idx="3">
                  <c:v>165.75071592539746</c:v>
                </c:pt>
                <c:pt idx="4">
                  <c:v>194.52688188466783</c:v>
                </c:pt>
                <c:pt idx="5">
                  <c:v>225.60514112067986</c:v>
                </c:pt>
                <c:pt idx="6">
                  <c:v>258.98549363343352</c:v>
                </c:pt>
                <c:pt idx="7">
                  <c:v>285.53150673086043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CC7-4988-A320-0DB7D5B84B34}"/>
            </c:ext>
          </c:extLst>
        </c:ser>
        <c:ser>
          <c:idx val="3"/>
          <c:order val="3"/>
          <c:tx>
            <c:v>1⁄i_Гη </c:v>
          </c:tx>
          <c:xVal>
            <c:numRef>
              <c:f>'Согласование ДВС и ГТК'!$A$2:$A$9</c:f>
              <c:numCache>
                <c:formatCode>0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'Согласование ДВС и ГТК'!$I$2:$I$9</c:f>
              <c:numCache>
                <c:formatCode>0</c:formatCode>
                <c:ptCount val="8"/>
                <c:pt idx="0">
                  <c:v>86.231226330906594</c:v>
                </c:pt>
                <c:pt idx="1">
                  <c:v>106.45830411223037</c:v>
                </c:pt>
                <c:pt idx="2">
                  <c:v>128.81454797579875</c:v>
                </c:pt>
                <c:pt idx="3">
                  <c:v>153.29995792161174</c:v>
                </c:pt>
                <c:pt idx="4">
                  <c:v>179.91453394966933</c:v>
                </c:pt>
                <c:pt idx="5">
                  <c:v>208.65827605997151</c:v>
                </c:pt>
                <c:pt idx="6">
                  <c:v>239.53118425251833</c:v>
                </c:pt>
                <c:pt idx="7">
                  <c:v>264.08313063840143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CC7-4988-A320-0DB7D5B84B34}"/>
            </c:ext>
          </c:extLst>
        </c:ser>
        <c:ser>
          <c:idx val="4"/>
          <c:order val="4"/>
          <c:tx>
            <c:v>1⁄i_Гмакс </c:v>
          </c:tx>
          <c:xVal>
            <c:numRef>
              <c:f>'Согласование ДВС и ГТК'!$A$2:$A$9</c:f>
              <c:numCache>
                <c:formatCode>0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'Согласование ДВС и ГТК'!$J$2:$J$9</c:f>
              <c:numCache>
                <c:formatCode>0</c:formatCode>
                <c:ptCount val="8"/>
                <c:pt idx="0">
                  <c:v>65.658294160588781</c:v>
                </c:pt>
                <c:pt idx="1">
                  <c:v>81.059622420479968</c:v>
                </c:pt>
                <c:pt idx="2">
                  <c:v>98.082143128780771</c:v>
                </c:pt>
                <c:pt idx="3">
                  <c:v>116.72585628549116</c:v>
                </c:pt>
                <c:pt idx="4">
                  <c:v>136.99076189061117</c:v>
                </c:pt>
                <c:pt idx="5">
                  <c:v>158.87685994414076</c:v>
                </c:pt>
                <c:pt idx="6">
                  <c:v>182.38415044607996</c:v>
                </c:pt>
                <c:pt idx="7">
                  <c:v>201.07852586680315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CC7-4988-A320-0DB7D5B84B34}"/>
            </c:ext>
          </c:extLst>
        </c:ser>
        <c:ser>
          <c:idx val="5"/>
          <c:order val="5"/>
          <c:tx>
            <c:v>1⁄i_ГС </c:v>
          </c:tx>
          <c:xVal>
            <c:numRef>
              <c:f>'Согласование ДВС и ГТК'!$A$2:$A$9</c:f>
              <c:numCache>
                <c:formatCode>0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'Согласование ДВС и ГТК'!$K$2:$K$9</c:f>
              <c:numCache>
                <c:formatCode>0</c:formatCode>
                <c:ptCount val="8"/>
                <c:pt idx="0">
                  <c:v>31.734842177617914</c:v>
                </c:pt>
                <c:pt idx="1">
                  <c:v>39.17881750323199</c:v>
                </c:pt>
                <c:pt idx="2">
                  <c:v>47.406369178910708</c:v>
                </c:pt>
                <c:pt idx="3">
                  <c:v>56.417497204654069</c:v>
                </c:pt>
                <c:pt idx="4">
                  <c:v>66.212201580462064</c:v>
                </c:pt>
                <c:pt idx="5">
                  <c:v>76.79048230633471</c:v>
                </c:pt>
                <c:pt idx="6">
                  <c:v>88.152339382271975</c:v>
                </c:pt>
                <c:pt idx="7">
                  <c:v>97.18795416895486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CC7-4988-A320-0DB7D5B84B34}"/>
            </c:ext>
          </c:extLst>
        </c:ser>
        <c:ser>
          <c:idx val="6"/>
          <c:order val="6"/>
          <c:tx>
            <c:v>1⁄i_Г95 </c:v>
          </c:tx>
          <c:xVal>
            <c:numRef>
              <c:f>'Согласование ДВС и ГТК'!$A$2:$A$9</c:f>
              <c:numCache>
                <c:formatCode>0</c:formatCode>
                <c:ptCount val="8"/>
                <c:pt idx="0">
                  <c:v>360</c:v>
                </c:pt>
                <c:pt idx="1">
                  <c:v>400</c:v>
                </c:pt>
                <c:pt idx="2">
                  <c:v>440</c:v>
                </c:pt>
                <c:pt idx="3">
                  <c:v>480</c:v>
                </c:pt>
                <c:pt idx="4">
                  <c:v>520</c:v>
                </c:pt>
                <c:pt idx="5">
                  <c:v>560</c:v>
                </c:pt>
                <c:pt idx="6">
                  <c:v>600</c:v>
                </c:pt>
                <c:pt idx="7">
                  <c:v>630</c:v>
                </c:pt>
              </c:numCache>
            </c:numRef>
          </c:xVal>
          <c:yVal>
            <c:numRef>
              <c:f>'Согласование ДВС и ГТК'!$L$2:$L$9</c:f>
              <c:numCache>
                <c:formatCode>0</c:formatCode>
                <c:ptCount val="8"/>
                <c:pt idx="0">
                  <c:v>19.259766287106046</c:v>
                </c:pt>
                <c:pt idx="1">
                  <c:v>23.777489243340796</c:v>
                </c:pt>
                <c:pt idx="2">
                  <c:v>28.770761984442363</c:v>
                </c:pt>
                <c:pt idx="3">
                  <c:v>34.239584510410744</c:v>
                </c:pt>
                <c:pt idx="4">
                  <c:v>40.183956821245943</c:v>
                </c:pt>
                <c:pt idx="5">
                  <c:v>46.603878916947963</c:v>
                </c:pt>
                <c:pt idx="6">
                  <c:v>53.49935079751679</c:v>
                </c:pt>
                <c:pt idx="7">
                  <c:v>58.983034254262265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CC7-4988-A320-0DB7D5B84B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354048"/>
        <c:axId val="218355968"/>
      </c:scatterChart>
      <c:valAx>
        <c:axId val="218354048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l-GR"/>
                  <a:t>ω</a:t>
                </a:r>
                <a:r>
                  <a:rPr lang="ru-RU"/>
                  <a:t>д, рад/с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crossAx val="218355968"/>
        <c:crosses val="autoZero"/>
        <c:crossBetween val="midCat"/>
      </c:valAx>
      <c:valAx>
        <c:axId val="218355968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ru-RU"/>
                  <a:t>Мд, Н*м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1835404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1 передача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'Ск-ть ГТК и авто'!$B$2:$G$2</c:f>
              <c:numCache>
                <c:formatCode>General</c:formatCode>
                <c:ptCount val="6"/>
                <c:pt idx="0">
                  <c:v>0</c:v>
                </c:pt>
                <c:pt idx="1">
                  <c:v>0.3</c:v>
                </c:pt>
                <c:pt idx="2">
                  <c:v>0.4</c:v>
                </c:pt>
                <c:pt idx="3">
                  <c:v>0.5</c:v>
                </c:pt>
                <c:pt idx="4">
                  <c:v>0.7</c:v>
                </c:pt>
                <c:pt idx="5">
                  <c:v>0.9</c:v>
                </c:pt>
              </c:numCache>
            </c:numRef>
          </c:xVal>
          <c:yVal>
            <c:numRef>
              <c:f>'Ск-ть ГТК и авто'!$B$4:$G$4</c:f>
              <c:numCache>
                <c:formatCode>0.0</c:formatCode>
                <c:ptCount val="6"/>
                <c:pt idx="0">
                  <c:v>0</c:v>
                </c:pt>
                <c:pt idx="1">
                  <c:v>3.3785250514756342</c:v>
                </c:pt>
                <c:pt idx="2">
                  <c:v>4.6246396705559372</c:v>
                </c:pt>
                <c:pt idx="3">
                  <c:v>5.9999313658201787</c:v>
                </c:pt>
                <c:pt idx="4">
                  <c:v>9.5303582704186667</c:v>
                </c:pt>
                <c:pt idx="5">
                  <c:v>16.23939121482498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76F-4DE6-8916-2BC1AFB7B3E1}"/>
            </c:ext>
          </c:extLst>
        </c:ser>
        <c:ser>
          <c:idx val="1"/>
          <c:order val="1"/>
          <c:tx>
            <c:v>2 передача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'Ск-ть ГТК и авто'!$B$2:$G$2</c:f>
              <c:numCache>
                <c:formatCode>General</c:formatCode>
                <c:ptCount val="6"/>
                <c:pt idx="0">
                  <c:v>0</c:v>
                </c:pt>
                <c:pt idx="1">
                  <c:v>0.3</c:v>
                </c:pt>
                <c:pt idx="2">
                  <c:v>0.4</c:v>
                </c:pt>
                <c:pt idx="3">
                  <c:v>0.5</c:v>
                </c:pt>
                <c:pt idx="4">
                  <c:v>0.7</c:v>
                </c:pt>
                <c:pt idx="5">
                  <c:v>0.9</c:v>
                </c:pt>
              </c:numCache>
            </c:numRef>
          </c:xVal>
          <c:yVal>
            <c:numRef>
              <c:f>'Ск-ть ГТК и авто'!$B$6:$G$6</c:f>
              <c:numCache>
                <c:formatCode>0.0</c:formatCode>
                <c:ptCount val="6"/>
                <c:pt idx="0">
                  <c:v>0</c:v>
                </c:pt>
                <c:pt idx="1">
                  <c:v>5.9070131999999997</c:v>
                </c:pt>
                <c:pt idx="2">
                  <c:v>8.0857200000000002</c:v>
                </c:pt>
                <c:pt idx="3">
                  <c:v>10.490280000000002</c:v>
                </c:pt>
                <c:pt idx="4">
                  <c:v>16.6628784</c:v>
                </c:pt>
                <c:pt idx="5">
                  <c:v>28.392951599999996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76F-4DE6-8916-2BC1AFB7B3E1}"/>
            </c:ext>
          </c:extLst>
        </c:ser>
        <c:ser>
          <c:idx val="2"/>
          <c:order val="2"/>
          <c:tx>
            <c:v>3 передача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'Ск-ть ГТК и авто'!$B$2:$H$2</c:f>
              <c:numCache>
                <c:formatCode>General</c:formatCode>
                <c:ptCount val="7"/>
                <c:pt idx="0">
                  <c:v>0</c:v>
                </c:pt>
                <c:pt idx="1">
                  <c:v>0.3</c:v>
                </c:pt>
                <c:pt idx="2">
                  <c:v>0.4</c:v>
                </c:pt>
                <c:pt idx="3">
                  <c:v>0.5</c:v>
                </c:pt>
                <c:pt idx="4">
                  <c:v>0.7</c:v>
                </c:pt>
                <c:pt idx="5">
                  <c:v>0.9</c:v>
                </c:pt>
                <c:pt idx="6">
                  <c:v>0.95</c:v>
                </c:pt>
              </c:numCache>
            </c:numRef>
          </c:xVal>
          <c:yVal>
            <c:numRef>
              <c:f>'Ск-ть ГТК и авто'!$B$8:$H$8</c:f>
              <c:numCache>
                <c:formatCode>0.0</c:formatCode>
                <c:ptCount val="7"/>
                <c:pt idx="0">
                  <c:v>0</c:v>
                </c:pt>
                <c:pt idx="1">
                  <c:v>9.4240797702616455</c:v>
                </c:pt>
                <c:pt idx="2">
                  <c:v>12.900000000000002</c:v>
                </c:pt>
                <c:pt idx="3">
                  <c:v>16.736247606892153</c:v>
                </c:pt>
                <c:pt idx="4">
                  <c:v>26.584043395022334</c:v>
                </c:pt>
                <c:pt idx="5">
                  <c:v>45.298263560944477</c:v>
                </c:pt>
                <c:pt idx="6">
                  <c:v>49.270261646458202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6D1-4552-A06B-5261A6F4AE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427616"/>
        <c:axId val="75428448"/>
      </c:scatterChart>
      <c:valAx>
        <c:axId val="75427616"/>
        <c:scaling>
          <c:orientation val="minMax"/>
          <c:max val="1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1/I</a:t>
                </a:r>
                <a:r>
                  <a:rPr lang="ru-RU"/>
                  <a:t>г</a:t>
                </a:r>
                <a:r>
                  <a:rPr lang="ru-RU" baseline="0"/>
                  <a:t> </a:t>
                </a:r>
                <a:endParaRPr lang="ru-RU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5428448"/>
        <c:crosses val="autoZero"/>
        <c:crossBetween val="midCat"/>
      </c:valAx>
      <c:valAx>
        <c:axId val="7542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Скорость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54276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Динамическая</a:t>
            </a:r>
            <a:r>
              <a:rPr lang="ru-RU" baseline="0"/>
              <a:t> характеристика автомобиля</a:t>
            </a:r>
          </a:p>
          <a:p>
            <a:pPr>
              <a:defRPr/>
            </a:pPr>
            <a:r>
              <a:rPr lang="ru-RU" baseline="0"/>
              <a:t>с гидромеханической трансмиссией</a:t>
            </a:r>
            <a:endParaRPr lang="ru-RU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'Дин. х-ка автомобиля с ГТК'!$B$10</c:f>
              <c:strCache>
                <c:ptCount val="1"/>
                <c:pt idx="0">
                  <c:v>D I</c:v>
                </c:pt>
              </c:strCache>
            </c:strRef>
          </c:tx>
          <c:marker>
            <c:symbol val="none"/>
          </c:marker>
          <c:xVal>
            <c:numRef>
              <c:f>'Дин. х-ка автомобиля с ГТК'!$W$3:$W$9</c:f>
              <c:numCache>
                <c:formatCode>0.0</c:formatCode>
                <c:ptCount val="7"/>
                <c:pt idx="0">
                  <c:v>0</c:v>
                </c:pt>
                <c:pt idx="1">
                  <c:v>3.3785250514756342</c:v>
                </c:pt>
                <c:pt idx="2">
                  <c:v>4.6246396705559372</c:v>
                </c:pt>
                <c:pt idx="3">
                  <c:v>5.9999313658201787</c:v>
                </c:pt>
                <c:pt idx="4">
                  <c:v>9.5303582704186667</c:v>
                </c:pt>
                <c:pt idx="5">
                  <c:v>16.23939121482498</c:v>
                </c:pt>
                <c:pt idx="6">
                  <c:v>17.663349347975291</c:v>
                </c:pt>
              </c:numCache>
            </c:numRef>
          </c:xVal>
          <c:yVal>
            <c:numRef>
              <c:f>'Дин. х-ка автомобиля с ГТК'!$AA$3:$AA$9</c:f>
              <c:numCache>
                <c:formatCode>0.000</c:formatCode>
                <c:ptCount val="7"/>
                <c:pt idx="0">
                  <c:v>0.2486698740205997</c:v>
                </c:pt>
                <c:pt idx="1">
                  <c:v>0.24727830928878902</c:v>
                </c:pt>
                <c:pt idx="2">
                  <c:v>0.24594667384838786</c:v>
                </c:pt>
                <c:pt idx="3">
                  <c:v>0.24449401768897272</c:v>
                </c:pt>
                <c:pt idx="4">
                  <c:v>0.23984927150401508</c:v>
                </c:pt>
                <c:pt idx="5">
                  <c:v>0.19781529049043697</c:v>
                </c:pt>
                <c:pt idx="6">
                  <c:v>0.12365141508182345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8A6-4D28-932E-41DCD30CABBC}"/>
            </c:ext>
          </c:extLst>
        </c:ser>
        <c:ser>
          <c:idx val="1"/>
          <c:order val="1"/>
          <c:tx>
            <c:strRef>
              <c:f>'Дин. х-ка автомобиля с ГТК'!$B$14</c:f>
              <c:strCache>
                <c:ptCount val="1"/>
                <c:pt idx="0">
                  <c:v>D II</c:v>
                </c:pt>
              </c:strCache>
            </c:strRef>
          </c:tx>
          <c:marker>
            <c:symbol val="none"/>
          </c:marker>
          <c:xVal>
            <c:numRef>
              <c:f>'Дин. х-ка автомобиля с ГТК'!$W$10:$W$16</c:f>
              <c:numCache>
                <c:formatCode>0.0</c:formatCode>
                <c:ptCount val="7"/>
                <c:pt idx="0">
                  <c:v>0</c:v>
                </c:pt>
                <c:pt idx="1">
                  <c:v>5.9070131999999997</c:v>
                </c:pt>
                <c:pt idx="2">
                  <c:v>8.0857200000000002</c:v>
                </c:pt>
                <c:pt idx="3">
                  <c:v>10.490280000000002</c:v>
                </c:pt>
                <c:pt idx="4">
                  <c:v>16.6628784</c:v>
                </c:pt>
                <c:pt idx="5">
                  <c:v>28.392951599999996</c:v>
                </c:pt>
                <c:pt idx="6">
                  <c:v>30.882600000000004</c:v>
                </c:pt>
              </c:numCache>
            </c:numRef>
          </c:xVal>
          <c:yVal>
            <c:numRef>
              <c:f>'Дин. х-ка автомобиля с ГТК'!$AA$10:$AA$16</c:f>
              <c:numCache>
                <c:formatCode>0.000</c:formatCode>
                <c:ptCount val="7"/>
                <c:pt idx="0">
                  <c:v>0.14222710708110253</c:v>
                </c:pt>
                <c:pt idx="1">
                  <c:v>0.14069124463140376</c:v>
                </c:pt>
                <c:pt idx="2">
                  <c:v>0.13928311048518896</c:v>
                </c:pt>
                <c:pt idx="3">
                  <c:v>0.13750502779320731</c:v>
                </c:pt>
                <c:pt idx="4">
                  <c:v>0.13129412821146311</c:v>
                </c:pt>
                <c:pt idx="5">
                  <c:v>9.6044911163611427E-2</c:v>
                </c:pt>
                <c:pt idx="6">
                  <c:v>5.0497213525524172E-2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8A6-4D28-932E-41DCD30CABBC}"/>
            </c:ext>
          </c:extLst>
        </c:ser>
        <c:ser>
          <c:idx val="2"/>
          <c:order val="2"/>
          <c:tx>
            <c:v>D III</c:v>
          </c:tx>
          <c:marker>
            <c:symbol val="none"/>
          </c:marker>
          <c:xVal>
            <c:numRef>
              <c:f>'Дин. х-ка автомобиля с ГТК'!$W$17:$W$23</c:f>
              <c:numCache>
                <c:formatCode>0.0</c:formatCode>
                <c:ptCount val="7"/>
                <c:pt idx="0">
                  <c:v>0</c:v>
                </c:pt>
                <c:pt idx="1">
                  <c:v>9.4240797702616455</c:v>
                </c:pt>
                <c:pt idx="2">
                  <c:v>12.900000000000002</c:v>
                </c:pt>
                <c:pt idx="3">
                  <c:v>16.736247606892153</c:v>
                </c:pt>
                <c:pt idx="4">
                  <c:v>26.584043395022334</c:v>
                </c:pt>
                <c:pt idx="5">
                  <c:v>45.298263560944477</c:v>
                </c:pt>
                <c:pt idx="6">
                  <c:v>49.270261646458202</c:v>
                </c:pt>
              </c:numCache>
            </c:numRef>
          </c:xVal>
          <c:yVal>
            <c:numRef>
              <c:f>'Дин. х-ка автомобиля с ГТК'!$AA$17:$AA$23</c:f>
              <c:numCache>
                <c:formatCode>0.000</c:formatCode>
                <c:ptCount val="7"/>
                <c:pt idx="0">
                  <c:v>8.9147950718435065E-2</c:v>
                </c:pt>
                <c:pt idx="1">
                  <c:v>8.6438907768704276E-2</c:v>
                </c:pt>
                <c:pt idx="2">
                  <c:v>8.4030479763570046E-2</c:v>
                </c:pt>
                <c:pt idx="3">
                  <c:v>8.0680415118628945E-2</c:v>
                </c:pt>
                <c:pt idx="4">
                  <c:v>6.8398864451502853E-2</c:v>
                </c:pt>
                <c:pt idx="5">
                  <c:v>1.9853131424815849E-2</c:v>
                </c:pt>
                <c:pt idx="6">
                  <c:v>-1.608222153653718E-2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523-4506-900A-250317E3CC16}"/>
            </c:ext>
          </c:extLst>
        </c:ser>
        <c:ser>
          <c:idx val="3"/>
          <c:order val="3"/>
          <c:tx>
            <c:strRef>
              <c:f>'Дин. х-ка автомобиля с ГТК'!$N$2</c:f>
              <c:strCache>
                <c:ptCount val="1"/>
                <c:pt idx="0">
                  <c:v>ψ</c:v>
                </c:pt>
              </c:strCache>
            </c:strRef>
          </c:tx>
          <c:marker>
            <c:symbol val="none"/>
          </c:marker>
          <c:xVal>
            <c:numRef>
              <c:f>'Дин. х-ка автомобиля с ГТК'!$W$3:$W$23</c:f>
              <c:numCache>
                <c:formatCode>0.0</c:formatCode>
                <c:ptCount val="21"/>
                <c:pt idx="0">
                  <c:v>0</c:v>
                </c:pt>
                <c:pt idx="1">
                  <c:v>3.3785250514756342</c:v>
                </c:pt>
                <c:pt idx="2">
                  <c:v>4.6246396705559372</c:v>
                </c:pt>
                <c:pt idx="3">
                  <c:v>5.9999313658201787</c:v>
                </c:pt>
                <c:pt idx="4">
                  <c:v>9.5303582704186667</c:v>
                </c:pt>
                <c:pt idx="5">
                  <c:v>16.23939121482498</c:v>
                </c:pt>
                <c:pt idx="6">
                  <c:v>17.663349347975291</c:v>
                </c:pt>
                <c:pt idx="7">
                  <c:v>0</c:v>
                </c:pt>
                <c:pt idx="8">
                  <c:v>5.9070131999999997</c:v>
                </c:pt>
                <c:pt idx="9">
                  <c:v>8.0857200000000002</c:v>
                </c:pt>
                <c:pt idx="10">
                  <c:v>10.490280000000002</c:v>
                </c:pt>
                <c:pt idx="11">
                  <c:v>16.6628784</c:v>
                </c:pt>
                <c:pt idx="12">
                  <c:v>28.392951599999996</c:v>
                </c:pt>
                <c:pt idx="13">
                  <c:v>30.882600000000004</c:v>
                </c:pt>
                <c:pt idx="14">
                  <c:v>0</c:v>
                </c:pt>
                <c:pt idx="15">
                  <c:v>9.4240797702616455</c:v>
                </c:pt>
                <c:pt idx="16">
                  <c:v>12.900000000000002</c:v>
                </c:pt>
                <c:pt idx="17">
                  <c:v>16.736247606892153</c:v>
                </c:pt>
                <c:pt idx="18">
                  <c:v>26.584043395022334</c:v>
                </c:pt>
                <c:pt idx="19">
                  <c:v>45.298263560944477</c:v>
                </c:pt>
                <c:pt idx="20">
                  <c:v>49.270261646458202</c:v>
                </c:pt>
              </c:numCache>
            </c:numRef>
          </c:xVal>
          <c:yVal>
            <c:numRef>
              <c:f>'Дин. х-ка автомобиля с ГТК'!$R$3:$R$23</c:f>
              <c:numCache>
                <c:formatCode>General</c:formatCode>
                <c:ptCount val="21"/>
                <c:pt idx="0">
                  <c:v>0.02</c:v>
                </c:pt>
                <c:pt idx="1">
                  <c:v>0.02</c:v>
                </c:pt>
                <c:pt idx="2">
                  <c:v>0.02</c:v>
                </c:pt>
                <c:pt idx="3">
                  <c:v>0.02</c:v>
                </c:pt>
                <c:pt idx="4">
                  <c:v>0.02</c:v>
                </c:pt>
                <c:pt idx="5">
                  <c:v>0.02</c:v>
                </c:pt>
                <c:pt idx="6">
                  <c:v>0.02</c:v>
                </c:pt>
                <c:pt idx="7">
                  <c:v>0.02</c:v>
                </c:pt>
                <c:pt idx="8">
                  <c:v>0.02</c:v>
                </c:pt>
                <c:pt idx="9">
                  <c:v>0.02</c:v>
                </c:pt>
                <c:pt idx="10">
                  <c:v>0.02</c:v>
                </c:pt>
                <c:pt idx="11">
                  <c:v>0.02</c:v>
                </c:pt>
                <c:pt idx="12">
                  <c:v>0.02</c:v>
                </c:pt>
                <c:pt idx="13">
                  <c:v>0.02</c:v>
                </c:pt>
                <c:pt idx="14">
                  <c:v>0.02</c:v>
                </c:pt>
                <c:pt idx="15">
                  <c:v>0.02</c:v>
                </c:pt>
                <c:pt idx="16">
                  <c:v>0.02</c:v>
                </c:pt>
                <c:pt idx="17">
                  <c:v>0.02</c:v>
                </c:pt>
                <c:pt idx="18">
                  <c:v>0.02</c:v>
                </c:pt>
                <c:pt idx="19">
                  <c:v>0.02</c:v>
                </c:pt>
                <c:pt idx="20">
                  <c:v>0.02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8A6-4D28-932E-41DCD30CABBC}"/>
            </c:ext>
          </c:extLst>
        </c:ser>
        <c:ser>
          <c:idx val="4"/>
          <c:order val="4"/>
          <c:tx>
            <c:strRef>
              <c:f>'Дин. х-ка автомобиля с ГТК'!$Q$2</c:f>
              <c:strCache>
                <c:ptCount val="1"/>
                <c:pt idx="0">
                  <c:v>βϕ</c:v>
                </c:pt>
              </c:strCache>
            </c:strRef>
          </c:tx>
          <c:marker>
            <c:symbol val="none"/>
          </c:marker>
          <c:xVal>
            <c:numRef>
              <c:f>'Дин. х-ка автомобиля с ГТК'!$W$17:$W$23</c:f>
              <c:numCache>
                <c:formatCode>0.0</c:formatCode>
                <c:ptCount val="7"/>
                <c:pt idx="0">
                  <c:v>0</c:v>
                </c:pt>
                <c:pt idx="1">
                  <c:v>9.4240797702616455</c:v>
                </c:pt>
                <c:pt idx="2">
                  <c:v>12.900000000000002</c:v>
                </c:pt>
                <c:pt idx="3">
                  <c:v>16.736247606892153</c:v>
                </c:pt>
                <c:pt idx="4">
                  <c:v>26.584043395022334</c:v>
                </c:pt>
                <c:pt idx="5">
                  <c:v>45.298263560944477</c:v>
                </c:pt>
                <c:pt idx="6">
                  <c:v>49.270261646458202</c:v>
                </c:pt>
              </c:numCache>
            </c:numRef>
          </c:xVal>
          <c:yVal>
            <c:numRef>
              <c:f>'Дин. х-ка автомобиля с ГТК'!$Q$17:$Q$23</c:f>
              <c:numCache>
                <c:formatCode>0.00</c:formatCode>
                <c:ptCount val="7"/>
                <c:pt idx="0">
                  <c:v>0.33750000000000002</c:v>
                </c:pt>
                <c:pt idx="1">
                  <c:v>0.33750000000000002</c:v>
                </c:pt>
                <c:pt idx="2">
                  <c:v>0.33750000000000002</c:v>
                </c:pt>
                <c:pt idx="3">
                  <c:v>0.33750000000000002</c:v>
                </c:pt>
                <c:pt idx="4">
                  <c:v>0.33750000000000002</c:v>
                </c:pt>
                <c:pt idx="5">
                  <c:v>0.33750000000000002</c:v>
                </c:pt>
                <c:pt idx="6">
                  <c:v>0.33750000000000002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63A-4CB8-B98B-539B0A05E7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182784"/>
        <c:axId val="218184704"/>
      </c:scatterChart>
      <c:valAx>
        <c:axId val="218182784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V,</a:t>
                </a:r>
                <a:r>
                  <a:rPr lang="en-US" baseline="0"/>
                  <a:t> </a:t>
                </a:r>
                <a:r>
                  <a:rPr lang="ru-RU" baseline="0"/>
                  <a:t>м/с</a:t>
                </a:r>
                <a:endParaRPr lang="ru-RU"/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218184704"/>
        <c:crosses val="autoZero"/>
        <c:crossBetween val="midCat"/>
      </c:valAx>
      <c:valAx>
        <c:axId val="218184704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D</a:t>
                </a:r>
                <a:endParaRPr lang="ru-RU"/>
              </a:p>
            </c:rich>
          </c:tx>
          <c:layout/>
          <c:overlay val="0"/>
        </c:title>
        <c:numFmt formatCode="0.000" sourceLinked="1"/>
        <c:majorTickMark val="out"/>
        <c:minorTickMark val="none"/>
        <c:tickLblPos val="nextTo"/>
        <c:crossAx val="218182784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800" b="1" i="0" baseline="0">
                <a:effectLst/>
              </a:rPr>
              <a:t>График ускорения автомобиля</a:t>
            </a:r>
            <a:endParaRPr lang="ru-RU">
              <a:effectLst/>
            </a:endParaRP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j I</c:v>
          </c:tx>
          <c:marker>
            <c:symbol val="none"/>
          </c:marker>
          <c:xVal>
            <c:numRef>
              <c:f>'Дин. х-ка автомобиля с ГТК'!$W$3:$W$9</c:f>
              <c:numCache>
                <c:formatCode>0.0</c:formatCode>
                <c:ptCount val="7"/>
                <c:pt idx="0">
                  <c:v>0</c:v>
                </c:pt>
                <c:pt idx="1">
                  <c:v>3.3785250514756342</c:v>
                </c:pt>
                <c:pt idx="2">
                  <c:v>4.6246396705559372</c:v>
                </c:pt>
                <c:pt idx="3">
                  <c:v>5.9999313658201787</c:v>
                </c:pt>
                <c:pt idx="4">
                  <c:v>9.5303582704186667</c:v>
                </c:pt>
                <c:pt idx="5">
                  <c:v>16.23939121482498</c:v>
                </c:pt>
                <c:pt idx="6">
                  <c:v>17.663349347975291</c:v>
                </c:pt>
              </c:numCache>
            </c:numRef>
          </c:xVal>
          <c:yVal>
            <c:numRef>
              <c:f>'Дин. х-ка автомобиля с ГТК'!$AB$3:$AB$9</c:f>
              <c:numCache>
                <c:formatCode>0.00</c:formatCode>
                <c:ptCount val="7"/>
                <c:pt idx="0">
                  <c:v>1.7376410729621572</c:v>
                </c:pt>
                <c:pt idx="1">
                  <c:v>1.7270667021840371</c:v>
                </c:pt>
                <c:pt idx="2">
                  <c:v>1.7169477285091548</c:v>
                </c:pt>
                <c:pt idx="3">
                  <c:v>1.7059091296631004</c:v>
                </c:pt>
                <c:pt idx="4">
                  <c:v>1.6706141360438727</c:v>
                </c:pt>
                <c:pt idx="5">
                  <c:v>1.3512018296255597</c:v>
                </c:pt>
                <c:pt idx="6">
                  <c:v>0.78763744847561556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4B-4163-987C-63F51D6C4A49}"/>
            </c:ext>
          </c:extLst>
        </c:ser>
        <c:ser>
          <c:idx val="1"/>
          <c:order val="1"/>
          <c:tx>
            <c:v>j II</c:v>
          </c:tx>
          <c:marker>
            <c:symbol val="none"/>
          </c:marker>
          <c:xVal>
            <c:numRef>
              <c:f>'Дин. х-ка автомобиля с ГТК'!$W$10:$W$16</c:f>
              <c:numCache>
                <c:formatCode>0.0</c:formatCode>
                <c:ptCount val="7"/>
                <c:pt idx="0">
                  <c:v>0</c:v>
                </c:pt>
                <c:pt idx="1">
                  <c:v>5.9070131999999997</c:v>
                </c:pt>
                <c:pt idx="2">
                  <c:v>8.0857200000000002</c:v>
                </c:pt>
                <c:pt idx="3">
                  <c:v>10.490280000000002</c:v>
                </c:pt>
                <c:pt idx="4">
                  <c:v>16.6628784</c:v>
                </c:pt>
                <c:pt idx="5">
                  <c:v>28.392951599999996</c:v>
                </c:pt>
                <c:pt idx="6">
                  <c:v>30.882600000000004</c:v>
                </c:pt>
              </c:numCache>
            </c:numRef>
          </c:xVal>
          <c:yVal>
            <c:numRef>
              <c:f>'Дин. х-ка автомобиля с ГТК'!$AB$10:$AB$16</c:f>
              <c:numCache>
                <c:formatCode>0.00</c:formatCode>
                <c:ptCount val="7"/>
                <c:pt idx="0">
                  <c:v>1.0685738442682806</c:v>
                </c:pt>
                <c:pt idx="1">
                  <c:v>1.0551465245735345</c:v>
                </c:pt>
                <c:pt idx="2">
                  <c:v>1.0428358730838634</c:v>
                </c:pt>
                <c:pt idx="3">
                  <c:v>1.0272909362611584</c:v>
                </c:pt>
                <c:pt idx="4">
                  <c:v>0.97299197590022257</c:v>
                </c:pt>
                <c:pt idx="5">
                  <c:v>0.66482472668866477</c:v>
                </c:pt>
                <c:pt idx="6">
                  <c:v>0.26662272776215007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D4B-4163-987C-63F51D6C4A49}"/>
            </c:ext>
          </c:extLst>
        </c:ser>
        <c:ser>
          <c:idx val="2"/>
          <c:order val="2"/>
          <c:tx>
            <c:v>j III</c:v>
          </c:tx>
          <c:marker>
            <c:symbol val="none"/>
          </c:marker>
          <c:xVal>
            <c:numRef>
              <c:f>'Дин. х-ка автомобиля с ГТК'!$W$17:$W$23</c:f>
              <c:numCache>
                <c:formatCode>0.0</c:formatCode>
                <c:ptCount val="7"/>
                <c:pt idx="0">
                  <c:v>0</c:v>
                </c:pt>
                <c:pt idx="1">
                  <c:v>9.4240797702616455</c:v>
                </c:pt>
                <c:pt idx="2">
                  <c:v>12.900000000000002</c:v>
                </c:pt>
                <c:pt idx="3">
                  <c:v>16.736247606892153</c:v>
                </c:pt>
                <c:pt idx="4">
                  <c:v>26.584043395022334</c:v>
                </c:pt>
                <c:pt idx="5">
                  <c:v>45.298263560944477</c:v>
                </c:pt>
                <c:pt idx="6">
                  <c:v>49.270261646458202</c:v>
                </c:pt>
              </c:numCache>
            </c:numRef>
          </c:xVal>
          <c:yVal>
            <c:numRef>
              <c:f>'Дин. х-ка автомобиля с ГТК'!$AB$17:$AB$23</c:f>
              <c:numCache>
                <c:formatCode>0.00</c:formatCode>
                <c:ptCount val="7"/>
                <c:pt idx="0">
                  <c:v>0.60452786036605632</c:v>
                </c:pt>
                <c:pt idx="1">
                  <c:v>0.58084397789339925</c:v>
                </c:pt>
                <c:pt idx="2">
                  <c:v>0.55978822983922993</c:v>
                </c:pt>
                <c:pt idx="3">
                  <c:v>0.53050019757142342</c:v>
                </c:pt>
                <c:pt idx="4">
                  <c:v>0.42312840318510558</c:v>
                </c:pt>
                <c:pt idx="5">
                  <c:v>-1.2840025566718037E-3</c:v>
                </c:pt>
                <c:pt idx="6">
                  <c:v>-0.31544981385719539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451-4E59-BD2C-EAE877FAFF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227840"/>
        <c:axId val="218229760"/>
      </c:scatterChart>
      <c:valAx>
        <c:axId val="218227840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V,</a:t>
                </a:r>
                <a:r>
                  <a:rPr lang="en-US" baseline="0"/>
                  <a:t> </a:t>
                </a:r>
                <a:r>
                  <a:rPr lang="ru-RU" baseline="0"/>
                  <a:t>м/с</a:t>
                </a:r>
                <a:endParaRPr lang="ru-RU"/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218229760"/>
        <c:crosses val="autoZero"/>
        <c:crossBetween val="midCat"/>
      </c:valAx>
      <c:valAx>
        <c:axId val="218229760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 sz="1000" b="1" i="0" u="none" strike="noStrike" baseline="0">
                    <a:effectLst/>
                  </a:rPr>
                  <a:t>j, </a:t>
                </a:r>
                <a:r>
                  <a:rPr lang="ru-RU" sz="1000" b="1" i="0" u="none" strike="noStrike" baseline="0">
                    <a:effectLst/>
                  </a:rPr>
                  <a:t>м/с^2</a:t>
                </a:r>
                <a:r>
                  <a:rPr lang="ru-RU" sz="1000" b="1" i="0" u="none" strike="noStrike" baseline="0"/>
                  <a:t> </a:t>
                </a:r>
                <a:endParaRPr lang="ru-RU"/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1822784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800" b="1" i="0" baseline="0">
                <a:effectLst/>
              </a:rPr>
              <a:t>График "обратного ускорения" автомобиля</a:t>
            </a:r>
            <a:endParaRPr lang="ru-RU">
              <a:effectLst/>
            </a:endParaRP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1/j I</c:v>
          </c:tx>
          <c:marker>
            <c:symbol val="none"/>
          </c:marker>
          <c:xVal>
            <c:numRef>
              <c:f>'Дин. х-ка автомобиля с ГТК'!$W$3:$W$9</c:f>
              <c:numCache>
                <c:formatCode>0.0</c:formatCode>
                <c:ptCount val="7"/>
                <c:pt idx="0">
                  <c:v>0</c:v>
                </c:pt>
                <c:pt idx="1">
                  <c:v>3.3785250514756342</c:v>
                </c:pt>
                <c:pt idx="2">
                  <c:v>4.6246396705559372</c:v>
                </c:pt>
                <c:pt idx="3">
                  <c:v>5.9999313658201787</c:v>
                </c:pt>
                <c:pt idx="4">
                  <c:v>9.5303582704186667</c:v>
                </c:pt>
                <c:pt idx="5">
                  <c:v>16.23939121482498</c:v>
                </c:pt>
                <c:pt idx="6">
                  <c:v>17.663349347975291</c:v>
                </c:pt>
              </c:numCache>
            </c:numRef>
          </c:xVal>
          <c:yVal>
            <c:numRef>
              <c:f>'Дин. х-ка автомобиля с ГТК'!$AC$3:$AC$9</c:f>
              <c:numCache>
                <c:formatCode>0.00</c:formatCode>
                <c:ptCount val="7"/>
                <c:pt idx="0">
                  <c:v>0.57549284231368891</c:v>
                </c:pt>
                <c:pt idx="1">
                  <c:v>0.57901643215945664</c:v>
                </c:pt>
                <c:pt idx="2">
                  <c:v>0.58242891346978354</c:v>
                </c:pt>
                <c:pt idx="3">
                  <c:v>0.58619769518291387</c:v>
                </c:pt>
                <c:pt idx="4">
                  <c:v>0.59858226889428079</c:v>
                </c:pt>
                <c:pt idx="5">
                  <c:v>0.74008188715753631</c:v>
                </c:pt>
                <c:pt idx="6">
                  <c:v>1.2696196732841849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3E6-4349-B71F-AF668563C4D4}"/>
            </c:ext>
          </c:extLst>
        </c:ser>
        <c:ser>
          <c:idx val="1"/>
          <c:order val="1"/>
          <c:tx>
            <c:v>1/j II</c:v>
          </c:tx>
          <c:marker>
            <c:symbol val="none"/>
          </c:marker>
          <c:xVal>
            <c:numRef>
              <c:f>'Дин. х-ка автомобиля с ГТК'!$W$10:$W$16</c:f>
              <c:numCache>
                <c:formatCode>0.0</c:formatCode>
                <c:ptCount val="7"/>
                <c:pt idx="0">
                  <c:v>0</c:v>
                </c:pt>
                <c:pt idx="1">
                  <c:v>5.9070131999999997</c:v>
                </c:pt>
                <c:pt idx="2">
                  <c:v>8.0857200000000002</c:v>
                </c:pt>
                <c:pt idx="3">
                  <c:v>10.490280000000002</c:v>
                </c:pt>
                <c:pt idx="4">
                  <c:v>16.6628784</c:v>
                </c:pt>
                <c:pt idx="5">
                  <c:v>28.392951599999996</c:v>
                </c:pt>
                <c:pt idx="6">
                  <c:v>30.882600000000004</c:v>
                </c:pt>
              </c:numCache>
            </c:numRef>
          </c:xVal>
          <c:yVal>
            <c:numRef>
              <c:f>'Дин. х-ка автомобиля с ГТК'!$AC$10:$AC$16</c:f>
              <c:numCache>
                <c:formatCode>0.00</c:formatCode>
                <c:ptCount val="7"/>
                <c:pt idx="0">
                  <c:v>0.93582676140156007</c:v>
                </c:pt>
                <c:pt idx="1">
                  <c:v>0.94773567150228399</c:v>
                </c:pt>
                <c:pt idx="2">
                  <c:v>0.95892366748260238</c:v>
                </c:pt>
                <c:pt idx="3">
                  <c:v>0.97343407276571114</c:v>
                </c:pt>
                <c:pt idx="4">
                  <c:v>1.0277577048616349</c:v>
                </c:pt>
                <c:pt idx="5">
                  <c:v>1.504155847182105</c:v>
                </c:pt>
                <c:pt idx="6">
                  <c:v>3.7506179926719683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3E6-4349-B71F-AF668563C4D4}"/>
            </c:ext>
          </c:extLst>
        </c:ser>
        <c:ser>
          <c:idx val="2"/>
          <c:order val="2"/>
          <c:tx>
            <c:v>1/j III</c:v>
          </c:tx>
          <c:marker>
            <c:symbol val="none"/>
          </c:marker>
          <c:xVal>
            <c:numRef>
              <c:f>'Дин. х-ка автомобиля с ГТК'!$W$17:$W$23</c:f>
              <c:numCache>
                <c:formatCode>0.0</c:formatCode>
                <c:ptCount val="7"/>
                <c:pt idx="0">
                  <c:v>0</c:v>
                </c:pt>
                <c:pt idx="1">
                  <c:v>9.4240797702616455</c:v>
                </c:pt>
                <c:pt idx="2">
                  <c:v>12.900000000000002</c:v>
                </c:pt>
                <c:pt idx="3">
                  <c:v>16.736247606892153</c:v>
                </c:pt>
                <c:pt idx="4">
                  <c:v>26.584043395022334</c:v>
                </c:pt>
                <c:pt idx="5">
                  <c:v>45.298263560944477</c:v>
                </c:pt>
                <c:pt idx="6">
                  <c:v>49.270261646458202</c:v>
                </c:pt>
              </c:numCache>
            </c:numRef>
          </c:xVal>
          <c:yVal>
            <c:numRef>
              <c:f>'Дин. х-ка автомобиля с ГТК'!$AC$17:$AC$23</c:f>
              <c:numCache>
                <c:formatCode>0.00</c:formatCode>
                <c:ptCount val="7"/>
                <c:pt idx="0">
                  <c:v>1.6541834803022573</c:v>
                </c:pt>
                <c:pt idx="1">
                  <c:v>1.7216327242072695</c:v>
                </c:pt>
                <c:pt idx="2">
                  <c:v>1.786389828680746</c:v>
                </c:pt>
                <c:pt idx="3">
                  <c:v>1.8850134355800421</c:v>
                </c:pt>
                <c:pt idx="4">
                  <c:v>2.363348790751187</c:v>
                </c:pt>
                <c:pt idx="5">
                  <c:v>8</c:v>
                </c:pt>
                <c:pt idx="6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C77-46F0-AF46-ABD7F93788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986752"/>
        <c:axId val="218993024"/>
      </c:scatterChart>
      <c:valAx>
        <c:axId val="218986752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baseline="0">
                    <a:effectLst/>
                  </a:rPr>
                  <a:t>V, </a:t>
                </a:r>
                <a:r>
                  <a:rPr lang="ru-RU" sz="1000" b="1" i="0" baseline="0">
                    <a:effectLst/>
                  </a:rPr>
                  <a:t>м/с</a:t>
                </a:r>
                <a:endParaRPr lang="ru-RU" sz="1000">
                  <a:effectLst/>
                </a:endParaRPr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218993024"/>
        <c:crosses val="autoZero"/>
        <c:crossBetween val="midCat"/>
      </c:valAx>
      <c:valAx>
        <c:axId val="218993024"/>
        <c:scaling>
          <c:orientation val="minMax"/>
          <c:max val="8"/>
          <c:min val="0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 sz="1000" b="1" i="0" u="none" strike="noStrike" baseline="0">
                    <a:effectLst/>
                  </a:rPr>
                  <a:t>1/j, </a:t>
                </a:r>
                <a:r>
                  <a:rPr lang="ru-RU" sz="1000" b="1" i="0" u="none" strike="noStrike" baseline="0">
                    <a:effectLst/>
                  </a:rPr>
                  <a:t>с^2/м</a:t>
                </a:r>
                <a:r>
                  <a:rPr lang="ru-RU" sz="1000" b="1" i="0" u="none" strike="noStrike" baseline="0"/>
                  <a:t> </a:t>
                </a:r>
                <a:endParaRPr lang="ru-RU"/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1898675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Тяговая характеристика автомобиля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Pk I</c:v>
          </c:tx>
          <c:marker>
            <c:symbol val="none"/>
          </c:marker>
          <c:xVal>
            <c:numRef>
              <c:f>'Дин. х-ка автомобиля с ГТК'!$W$3:$W$9</c:f>
              <c:numCache>
                <c:formatCode>0.0</c:formatCode>
                <c:ptCount val="7"/>
                <c:pt idx="0">
                  <c:v>0</c:v>
                </c:pt>
                <c:pt idx="1">
                  <c:v>3.3785250514756342</c:v>
                </c:pt>
                <c:pt idx="2">
                  <c:v>4.6246396705559372</c:v>
                </c:pt>
                <c:pt idx="3">
                  <c:v>5.9999313658201787</c:v>
                </c:pt>
                <c:pt idx="4">
                  <c:v>9.5303582704186667</c:v>
                </c:pt>
                <c:pt idx="5">
                  <c:v>16.23939121482498</c:v>
                </c:pt>
                <c:pt idx="6">
                  <c:v>17.663349347975291</c:v>
                </c:pt>
              </c:numCache>
            </c:numRef>
          </c:xVal>
          <c:yVal>
            <c:numRef>
              <c:f>'Дин. х-ка автомобиля с ГТК'!$X$3:$X$9</c:f>
              <c:numCache>
                <c:formatCode>0.0</c:formatCode>
                <c:ptCount val="7"/>
                <c:pt idx="0">
                  <c:v>3472.6747906976752</c:v>
                </c:pt>
                <c:pt idx="1">
                  <c:v>3457.4000093023255</c:v>
                </c:pt>
                <c:pt idx="2">
                  <c:v>3442.4369581395354</c:v>
                </c:pt>
                <c:pt idx="3">
                  <c:v>3427.4739069767447</c:v>
                </c:pt>
                <c:pt idx="4">
                  <c:v>3382.5847534883728</c:v>
                </c:pt>
                <c:pt idx="5">
                  <c:v>2858.5662325581397</c:v>
                </c:pt>
                <c:pt idx="6">
                  <c:v>1840.455293023256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AE9-4868-A66D-C053515318CD}"/>
            </c:ext>
          </c:extLst>
        </c:ser>
        <c:ser>
          <c:idx val="1"/>
          <c:order val="1"/>
          <c:tx>
            <c:v>Pk II</c:v>
          </c:tx>
          <c:marker>
            <c:symbol val="none"/>
          </c:marker>
          <c:xVal>
            <c:numRef>
              <c:f>'Дин. х-ка автомобиля с ГТК'!$W$10:$W$16</c:f>
              <c:numCache>
                <c:formatCode>0.0</c:formatCode>
                <c:ptCount val="7"/>
                <c:pt idx="0">
                  <c:v>0</c:v>
                </c:pt>
                <c:pt idx="1">
                  <c:v>5.9070131999999997</c:v>
                </c:pt>
                <c:pt idx="2">
                  <c:v>8.0857200000000002</c:v>
                </c:pt>
                <c:pt idx="3">
                  <c:v>10.490280000000002</c:v>
                </c:pt>
                <c:pt idx="4">
                  <c:v>16.6628784</c:v>
                </c:pt>
                <c:pt idx="5">
                  <c:v>28.392951599999996</c:v>
                </c:pt>
                <c:pt idx="6">
                  <c:v>30.882600000000004</c:v>
                </c:pt>
              </c:numCache>
            </c:numRef>
          </c:xVal>
          <c:yVal>
            <c:numRef>
              <c:f>'Дин. х-ка автомобиля с ГТК'!$X$10:$X$16</c:f>
              <c:numCache>
                <c:formatCode>0.0</c:formatCode>
                <c:ptCount val="7"/>
                <c:pt idx="0">
                  <c:v>1986.2015503875971</c:v>
                </c:pt>
                <c:pt idx="1">
                  <c:v>1977.4651162790697</c:v>
                </c:pt>
                <c:pt idx="2">
                  <c:v>1968.9069767441861</c:v>
                </c:pt>
                <c:pt idx="3">
                  <c:v>1960.3488372093025</c:v>
                </c:pt>
                <c:pt idx="4">
                  <c:v>1934.6744186046515</c:v>
                </c:pt>
                <c:pt idx="5">
                  <c:v>1634.9612403100778</c:v>
                </c:pt>
                <c:pt idx="6">
                  <c:v>1052.6511627906978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AE9-4868-A66D-C053515318CD}"/>
            </c:ext>
          </c:extLst>
        </c:ser>
        <c:ser>
          <c:idx val="2"/>
          <c:order val="2"/>
          <c:tx>
            <c:v>Pk III</c:v>
          </c:tx>
          <c:marker>
            <c:symbol val="none"/>
          </c:marker>
          <c:xVal>
            <c:numRef>
              <c:f>'Дин. х-ка автомобиля с ГТК'!$W$17:$W$23</c:f>
              <c:numCache>
                <c:formatCode>0.0</c:formatCode>
                <c:ptCount val="7"/>
                <c:pt idx="0">
                  <c:v>0</c:v>
                </c:pt>
                <c:pt idx="1">
                  <c:v>9.4240797702616455</c:v>
                </c:pt>
                <c:pt idx="2">
                  <c:v>12.900000000000002</c:v>
                </c:pt>
                <c:pt idx="3">
                  <c:v>16.736247606892153</c:v>
                </c:pt>
                <c:pt idx="4">
                  <c:v>26.584043395022334</c:v>
                </c:pt>
                <c:pt idx="5">
                  <c:v>45.298263560944477</c:v>
                </c:pt>
                <c:pt idx="6">
                  <c:v>49.270261646458202</c:v>
                </c:pt>
              </c:numCache>
            </c:numRef>
          </c:xVal>
          <c:yVal>
            <c:numRef>
              <c:f>'Дин. х-ка автомобиля с ГТК'!$X$17:$X$23</c:f>
              <c:numCache>
                <c:formatCode>0.0</c:formatCode>
                <c:ptCount val="7"/>
                <c:pt idx="0">
                  <c:v>1244.9511317829458</c:v>
                </c:pt>
                <c:pt idx="1">
                  <c:v>1239.475134883721</c:v>
                </c:pt>
                <c:pt idx="2">
                  <c:v>1234.1108930232558</c:v>
                </c:pt>
                <c:pt idx="3">
                  <c:v>1228.7466511627906</c:v>
                </c:pt>
                <c:pt idx="4">
                  <c:v>1212.6539255813952</c:v>
                </c:pt>
                <c:pt idx="5">
                  <c:v>1024.7937054263566</c:v>
                </c:pt>
                <c:pt idx="6">
                  <c:v>659.80174883720929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AE9-4868-A66D-C053515318CD}"/>
            </c:ext>
          </c:extLst>
        </c:ser>
        <c:ser>
          <c:idx val="3"/>
          <c:order val="3"/>
          <c:tx>
            <c:v>Pψ+Pw I</c:v>
          </c:tx>
          <c:marker>
            <c:symbol val="none"/>
          </c:marker>
          <c:xVal>
            <c:numRef>
              <c:f>'Дин. х-ка автомобиля с ГТК'!$W$3:$W$9</c:f>
              <c:numCache>
                <c:formatCode>0.0</c:formatCode>
                <c:ptCount val="7"/>
                <c:pt idx="0">
                  <c:v>0</c:v>
                </c:pt>
                <c:pt idx="1">
                  <c:v>3.3785250514756342</c:v>
                </c:pt>
                <c:pt idx="2">
                  <c:v>4.6246396705559372</c:v>
                </c:pt>
                <c:pt idx="3">
                  <c:v>5.9999313658201787</c:v>
                </c:pt>
                <c:pt idx="4">
                  <c:v>9.5303582704186667</c:v>
                </c:pt>
                <c:pt idx="5">
                  <c:v>16.23939121482498</c:v>
                </c:pt>
                <c:pt idx="6">
                  <c:v>17.663349347975291</c:v>
                </c:pt>
              </c:numCache>
            </c:numRef>
          </c:xVal>
          <c:yVal>
            <c:numRef>
              <c:f>'Дин. х-ка автомобиля с ГТК'!$AF$3:$AF$9</c:f>
              <c:numCache>
                <c:formatCode>0.0</c:formatCode>
                <c:ptCount val="7"/>
                <c:pt idx="0">
                  <c:v>279.30000000000007</c:v>
                </c:pt>
                <c:pt idx="1">
                  <c:v>283.45842008438638</c:v>
                </c:pt>
                <c:pt idx="2">
                  <c:v>287.09165784679846</c:v>
                </c:pt>
                <c:pt idx="3">
                  <c:v>292.41494995024061</c:v>
                </c:pt>
                <c:pt idx="4">
                  <c:v>312.38967693480203</c:v>
                </c:pt>
                <c:pt idx="5">
                  <c:v>375.37570085918742</c:v>
                </c:pt>
                <c:pt idx="6">
                  <c:v>392.96328140559137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AE9-4868-A66D-C053515318CD}"/>
            </c:ext>
          </c:extLst>
        </c:ser>
        <c:ser>
          <c:idx val="4"/>
          <c:order val="4"/>
          <c:tx>
            <c:v>Pψ+Pw II</c:v>
          </c:tx>
          <c:marker>
            <c:symbol val="none"/>
          </c:marker>
          <c:xVal>
            <c:numRef>
              <c:f>'Дин. х-ка автомобиля с ГТК'!$W$10:$W$16</c:f>
              <c:numCache>
                <c:formatCode>0.0</c:formatCode>
                <c:ptCount val="7"/>
                <c:pt idx="0">
                  <c:v>0</c:v>
                </c:pt>
                <c:pt idx="1">
                  <c:v>5.9070131999999997</c:v>
                </c:pt>
                <c:pt idx="2">
                  <c:v>8.0857200000000002</c:v>
                </c:pt>
                <c:pt idx="3">
                  <c:v>10.490280000000002</c:v>
                </c:pt>
                <c:pt idx="4">
                  <c:v>16.6628784</c:v>
                </c:pt>
                <c:pt idx="5">
                  <c:v>28.392951599999996</c:v>
                </c:pt>
                <c:pt idx="6">
                  <c:v>30.882600000000004</c:v>
                </c:pt>
              </c:numCache>
            </c:numRef>
          </c:xVal>
          <c:yVal>
            <c:numRef>
              <c:f>'Дин. х-ка автомобиля с ГТК'!$AF$10:$AF$16</c:f>
              <c:numCache>
                <c:formatCode>0.0</c:formatCode>
                <c:ptCount val="7"/>
                <c:pt idx="0">
                  <c:v>279.30000000000007</c:v>
                </c:pt>
                <c:pt idx="1">
                  <c:v>292.01188500151602</c:v>
                </c:pt>
                <c:pt idx="2">
                  <c:v>303.11833881852215</c:v>
                </c:pt>
                <c:pt idx="3">
                  <c:v>319.3911240771622</c:v>
                </c:pt>
                <c:pt idx="4">
                  <c:v>380.45191813156913</c:v>
                </c:pt>
                <c:pt idx="5">
                  <c:v>572.99405591024413</c:v>
                </c:pt>
                <c:pt idx="6">
                  <c:v>626.75757590675266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AE9-4868-A66D-C053515318CD}"/>
            </c:ext>
          </c:extLst>
        </c:ser>
        <c:ser>
          <c:idx val="5"/>
          <c:order val="5"/>
          <c:tx>
            <c:v>Pψ+Pw III</c:v>
          </c:tx>
          <c:marker>
            <c:symbol val="none"/>
          </c:marker>
          <c:xVal>
            <c:numRef>
              <c:f>'Дин. х-ка автомобиля с ГТК'!$W$17:$W$23</c:f>
              <c:numCache>
                <c:formatCode>0.0</c:formatCode>
                <c:ptCount val="7"/>
                <c:pt idx="0">
                  <c:v>0</c:v>
                </c:pt>
                <c:pt idx="1">
                  <c:v>9.4240797702616455</c:v>
                </c:pt>
                <c:pt idx="2">
                  <c:v>12.900000000000002</c:v>
                </c:pt>
                <c:pt idx="3">
                  <c:v>16.736247606892153</c:v>
                </c:pt>
                <c:pt idx="4">
                  <c:v>26.584043395022334</c:v>
                </c:pt>
                <c:pt idx="5">
                  <c:v>45.298263560944477</c:v>
                </c:pt>
                <c:pt idx="6">
                  <c:v>49.270261646458202</c:v>
                </c:pt>
              </c:numCache>
            </c:numRef>
          </c:xVal>
          <c:yVal>
            <c:numRef>
              <c:f>'Дин. х-ка автомобиля с ГТК'!$AF$17:$AF$23</c:f>
              <c:numCache>
                <c:formatCode>0.0</c:formatCode>
                <c:ptCount val="7"/>
                <c:pt idx="0">
                  <c:v>279.30000000000007</c:v>
                </c:pt>
                <c:pt idx="1">
                  <c:v>311.65578789376565</c:v>
                </c:pt>
                <c:pt idx="2">
                  <c:v>339.92524312500007</c:v>
                </c:pt>
                <c:pt idx="3">
                  <c:v>381.34465403113734</c:v>
                </c:pt>
                <c:pt idx="4">
                  <c:v>536.76378351615767</c:v>
                </c:pt>
                <c:pt idx="5">
                  <c:v>1026.8447250788033</c:v>
                </c:pt>
                <c:pt idx="6">
                  <c:v>1163.6899725949511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3AE9-4868-A66D-C053515318CD}"/>
            </c:ext>
          </c:extLst>
        </c:ser>
        <c:ser>
          <c:idx val="6"/>
          <c:order val="6"/>
          <c:tx>
            <c:strRef>
              <c:f>'Дин. х-ка автомобиля с ГТК'!$Y$2</c:f>
              <c:strCache>
                <c:ptCount val="1"/>
                <c:pt idx="0">
                  <c:v>Pψ, Н</c:v>
                </c:pt>
              </c:strCache>
            </c:strRef>
          </c:tx>
          <c:marker>
            <c:symbol val="none"/>
          </c:marker>
          <c:xVal>
            <c:numRef>
              <c:f>'Дин. х-ка автомобиля с ГТК'!$W$17:$W$23</c:f>
              <c:numCache>
                <c:formatCode>0.0</c:formatCode>
                <c:ptCount val="7"/>
                <c:pt idx="0">
                  <c:v>0</c:v>
                </c:pt>
                <c:pt idx="1">
                  <c:v>9.4240797702616455</c:v>
                </c:pt>
                <c:pt idx="2">
                  <c:v>12.900000000000002</c:v>
                </c:pt>
                <c:pt idx="3">
                  <c:v>16.736247606892153</c:v>
                </c:pt>
                <c:pt idx="4">
                  <c:v>26.584043395022334</c:v>
                </c:pt>
                <c:pt idx="5">
                  <c:v>45.298263560944477</c:v>
                </c:pt>
                <c:pt idx="6">
                  <c:v>49.270261646458202</c:v>
                </c:pt>
              </c:numCache>
            </c:numRef>
          </c:xVal>
          <c:yVal>
            <c:numRef>
              <c:f>'Дин. х-ка автомобиля с ГТК'!$Y$17:$Y$23</c:f>
              <c:numCache>
                <c:formatCode>0.0</c:formatCode>
                <c:ptCount val="7"/>
                <c:pt idx="0">
                  <c:v>279.30000000000007</c:v>
                </c:pt>
                <c:pt idx="1">
                  <c:v>279.30000000000007</c:v>
                </c:pt>
                <c:pt idx="2">
                  <c:v>279.30000000000007</c:v>
                </c:pt>
                <c:pt idx="3">
                  <c:v>279.30000000000007</c:v>
                </c:pt>
                <c:pt idx="4">
                  <c:v>279.30000000000007</c:v>
                </c:pt>
                <c:pt idx="5">
                  <c:v>279.30000000000007</c:v>
                </c:pt>
                <c:pt idx="6">
                  <c:v>279.30000000000007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3AE9-4868-A66D-C053515318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559360"/>
        <c:axId val="254849792"/>
      </c:scatterChart>
      <c:valAx>
        <c:axId val="236559360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</a:t>
                </a:r>
                <a:r>
                  <a:rPr lang="ru-RU"/>
                  <a:t>,</a:t>
                </a:r>
                <a:r>
                  <a:rPr lang="ru-RU" baseline="0"/>
                  <a:t> м/с</a:t>
                </a:r>
                <a:endParaRPr lang="ru-RU"/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254849792"/>
        <c:crosses val="autoZero"/>
        <c:crossBetween val="midCat"/>
      </c:valAx>
      <c:valAx>
        <c:axId val="254849792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Pk,</a:t>
                </a:r>
                <a:r>
                  <a:rPr lang="en-US" baseline="0"/>
                  <a:t> H</a:t>
                </a:r>
                <a:endParaRPr lang="ru-RU"/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236559360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200"/>
              <a:t>Путь разгона автомобиля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'Дин. х-ка автомобиля с ГТК'!$W$3:$W$9</c:f>
              <c:numCache>
                <c:formatCode>0.0</c:formatCode>
                <c:ptCount val="7"/>
                <c:pt idx="0">
                  <c:v>0</c:v>
                </c:pt>
                <c:pt idx="1">
                  <c:v>3.3785250514756342</c:v>
                </c:pt>
                <c:pt idx="2">
                  <c:v>4.6246396705559372</c:v>
                </c:pt>
                <c:pt idx="3">
                  <c:v>5.9999313658201787</c:v>
                </c:pt>
                <c:pt idx="4">
                  <c:v>9.5303582704186667</c:v>
                </c:pt>
                <c:pt idx="5">
                  <c:v>16.23939121482498</c:v>
                </c:pt>
                <c:pt idx="6">
                  <c:v>17.663349347975291</c:v>
                </c:pt>
              </c:numCache>
            </c:numRef>
          </c:xVal>
          <c:yVal>
            <c:numRef>
              <c:f>'Дин. х-ка автомобиля с ГТК'!$AE$3:$AE$9</c:f>
              <c:numCache>
                <c:formatCode>0.00</c:formatCode>
                <c:ptCount val="7"/>
                <c:pt idx="0">
                  <c:v>0</c:v>
                </c:pt>
                <c:pt idx="1">
                  <c:v>3.3045717079177725</c:v>
                </c:pt>
                <c:pt idx="2">
                  <c:v>6.2282886448297861</c:v>
                </c:pt>
                <c:pt idx="3">
                  <c:v>10.551317115485004</c:v>
                </c:pt>
                <c:pt idx="4">
                  <c:v>27.183933980597004</c:v>
                </c:pt>
                <c:pt idx="5">
                  <c:v>97.586393552033343</c:v>
                </c:pt>
                <c:pt idx="6">
                  <c:v>198.056803160165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D1-4CF7-91FF-68920FFDA154}"/>
            </c:ext>
          </c:extLst>
        </c:ser>
        <c:ser>
          <c:idx val="1"/>
          <c:order val="1"/>
          <c:spPr>
            <a:ln w="19050">
              <a:noFill/>
            </a:ln>
          </c:spPr>
          <c:xVal>
            <c:numRef>
              <c:f>'Дин. х-ка автомобиля с ГТК'!$W$10:$W$16</c:f>
              <c:numCache>
                <c:formatCode>0.0</c:formatCode>
                <c:ptCount val="7"/>
                <c:pt idx="0">
                  <c:v>0</c:v>
                </c:pt>
                <c:pt idx="1">
                  <c:v>5.9070131999999997</c:v>
                </c:pt>
                <c:pt idx="2">
                  <c:v>8.0857200000000002</c:v>
                </c:pt>
                <c:pt idx="3">
                  <c:v>10.490280000000002</c:v>
                </c:pt>
                <c:pt idx="4">
                  <c:v>16.6628784</c:v>
                </c:pt>
                <c:pt idx="5">
                  <c:v>28.392951599999996</c:v>
                </c:pt>
                <c:pt idx="6">
                  <c:v>30.882600000000004</c:v>
                </c:pt>
              </c:numCache>
            </c:numRef>
          </c:xVal>
          <c:yVal>
            <c:numRef>
              <c:f>'Дин. х-ка автомобиля с ГТК'!$AE$10:$AE$16</c:f>
              <c:numCache>
                <c:formatCode>0.00</c:formatCode>
                <c:ptCount val="7"/>
                <c:pt idx="0">
                  <c:v>0</c:v>
                </c:pt>
                <c:pt idx="1">
                  <c:v>19.701038679851536</c:v>
                </c:pt>
                <c:pt idx="2">
                  <c:v>35.805170306914583</c:v>
                </c:pt>
                <c:pt idx="3">
                  <c:v>59.113230724869041</c:v>
                </c:pt>
                <c:pt idx="4">
                  <c:v>145.60063459153179</c:v>
                </c:pt>
                <c:pt idx="5">
                  <c:v>419.00998362247094</c:v>
                </c:pt>
                <c:pt idx="6">
                  <c:v>515.62698931566456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9D1-4CF7-91FF-68920FFDA154}"/>
            </c:ext>
          </c:extLst>
        </c:ser>
        <c:ser>
          <c:idx val="2"/>
          <c:order val="2"/>
          <c:spPr>
            <a:ln w="19050">
              <a:noFill/>
            </a:ln>
          </c:spPr>
          <c:xVal>
            <c:numRef>
              <c:f>'Дин. х-ка автомобиля с ГТК'!$W$17:$W$23</c:f>
              <c:numCache>
                <c:formatCode>0.0</c:formatCode>
                <c:ptCount val="7"/>
                <c:pt idx="0">
                  <c:v>0</c:v>
                </c:pt>
                <c:pt idx="1">
                  <c:v>9.4240797702616455</c:v>
                </c:pt>
                <c:pt idx="2">
                  <c:v>12.900000000000002</c:v>
                </c:pt>
                <c:pt idx="3">
                  <c:v>16.736247606892153</c:v>
                </c:pt>
                <c:pt idx="4">
                  <c:v>26.584043395022334</c:v>
                </c:pt>
                <c:pt idx="5">
                  <c:v>45.298263560944477</c:v>
                </c:pt>
                <c:pt idx="6">
                  <c:v>49.270261646458202</c:v>
                </c:pt>
              </c:numCache>
            </c:numRef>
          </c:xVal>
          <c:yVal>
            <c:numRef>
              <c:f>'Дин. х-ка автомобиля с ГТК'!$AE$17:$AE$23</c:f>
              <c:numCache>
                <c:formatCode>0.00</c:formatCode>
                <c:ptCount val="7"/>
                <c:pt idx="0">
                  <c:v>0</c:v>
                </c:pt>
                <c:pt idx="1">
                  <c:v>50.695724932472942</c:v>
                </c:pt>
                <c:pt idx="2">
                  <c:v>92.05863602512683</c:v>
                </c:pt>
                <c:pt idx="3">
                  <c:v>152.01091329734629</c:v>
                </c:pt>
                <c:pt idx="4">
                  <c:v>375.89301217334366</c:v>
                </c:pt>
                <c:pt idx="5">
                  <c:v>1133.5967799408818</c:v>
                </c:pt>
                <c:pt idx="6">
                  <c:v>1567.9169591043042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9D1-4CF7-91FF-68920FFDA1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9684864"/>
        <c:axId val="219686784"/>
      </c:scatterChart>
      <c:valAx>
        <c:axId val="219684864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baseline="0">
                    <a:effectLst/>
                  </a:rPr>
                  <a:t>V</a:t>
                </a:r>
                <a:r>
                  <a:rPr lang="ru-RU" sz="1000" b="1" i="0" baseline="0">
                    <a:effectLst/>
                  </a:rPr>
                  <a:t>, м/с</a:t>
                </a:r>
                <a:endParaRPr lang="ru-RU" sz="1000">
                  <a:effectLst/>
                </a:endParaRPr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219686784"/>
        <c:crosses val="autoZero"/>
        <c:crossBetween val="midCat"/>
      </c:valAx>
      <c:valAx>
        <c:axId val="219686784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S</a:t>
                </a:r>
                <a:r>
                  <a:rPr lang="ru-RU"/>
                  <a:t>р, м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196848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200"/>
              <a:t>Время разгона автомобиля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'Дин. х-ка автомобиля с ГТК'!$W$3:$W$9</c:f>
              <c:numCache>
                <c:formatCode>0.0</c:formatCode>
                <c:ptCount val="7"/>
                <c:pt idx="0">
                  <c:v>0</c:v>
                </c:pt>
                <c:pt idx="1">
                  <c:v>3.3785250514756342</c:v>
                </c:pt>
                <c:pt idx="2">
                  <c:v>4.6246396705559372</c:v>
                </c:pt>
                <c:pt idx="3">
                  <c:v>5.9999313658201787</c:v>
                </c:pt>
                <c:pt idx="4">
                  <c:v>9.5303582704186667</c:v>
                </c:pt>
                <c:pt idx="5">
                  <c:v>16.23939121482498</c:v>
                </c:pt>
                <c:pt idx="6">
                  <c:v>17.663349347975291</c:v>
                </c:pt>
              </c:numCache>
            </c:numRef>
          </c:xVal>
          <c:yVal>
            <c:numRef>
              <c:f>'Дин. х-ка автомобиля с ГТК'!$AD$3:$AD$9</c:f>
              <c:numCache>
                <c:formatCode>0.00</c:formatCode>
                <c:ptCount val="7"/>
                <c:pt idx="0">
                  <c:v>0</c:v>
                </c:pt>
                <c:pt idx="1">
                  <c:v>1.9562215212667664</c:v>
                </c:pt>
                <c:pt idx="2">
                  <c:v>2.6935238585111523</c:v>
                </c:pt>
                <c:pt idx="3">
                  <c:v>3.5171459378994614</c:v>
                </c:pt>
                <c:pt idx="4">
                  <c:v>5.7047034768825791</c:v>
                </c:pt>
                <c:pt idx="5">
                  <c:v>12.018479296557187</c:v>
                </c:pt>
                <c:pt idx="6">
                  <c:v>22.425735828280811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66D-48C4-AB73-9F158799E4D2}"/>
            </c:ext>
          </c:extLst>
        </c:ser>
        <c:ser>
          <c:idx val="1"/>
          <c:order val="1"/>
          <c:spPr>
            <a:ln w="19050">
              <a:noFill/>
            </a:ln>
          </c:spPr>
          <c:xVal>
            <c:numRef>
              <c:f>'Дин. х-ка автомобиля с ГТК'!$W$10:$W$16</c:f>
              <c:numCache>
                <c:formatCode>0.0</c:formatCode>
                <c:ptCount val="7"/>
                <c:pt idx="0">
                  <c:v>0</c:v>
                </c:pt>
                <c:pt idx="1">
                  <c:v>5.9070131999999997</c:v>
                </c:pt>
                <c:pt idx="2">
                  <c:v>8.0857200000000002</c:v>
                </c:pt>
                <c:pt idx="3">
                  <c:v>10.490280000000002</c:v>
                </c:pt>
                <c:pt idx="4">
                  <c:v>16.6628784</c:v>
                </c:pt>
                <c:pt idx="5">
                  <c:v>28.392951599999996</c:v>
                </c:pt>
                <c:pt idx="6">
                  <c:v>30.882600000000004</c:v>
                </c:pt>
              </c:numCache>
            </c:numRef>
          </c:xVal>
          <c:yVal>
            <c:numRef>
              <c:f>'Дин. х-ка автомобиля с ГТК'!$AD$10:$AD$16</c:f>
              <c:numCache>
                <c:formatCode>0.00</c:formatCode>
                <c:ptCount val="7"/>
                <c:pt idx="0">
                  <c:v>0.75565980185762449</c:v>
                </c:pt>
                <c:pt idx="1">
                  <c:v>6.6703892518308701</c:v>
                </c:pt>
                <c:pt idx="2">
                  <c:v>8.8563962904761926</c:v>
                </c:pt>
                <c:pt idx="3">
                  <c:v>11.270095883974314</c:v>
                </c:pt>
                <c:pt idx="4">
                  <c:v>17.476048386877959</c:v>
                </c:pt>
                <c:pt idx="5">
                  <c:v>29.515070467169817</c:v>
                </c:pt>
                <c:pt idx="6">
                  <c:v>33.392718832978083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66D-48C4-AB73-9F158799E4D2}"/>
            </c:ext>
          </c:extLst>
        </c:ser>
        <c:ser>
          <c:idx val="2"/>
          <c:order val="2"/>
          <c:spPr>
            <a:ln w="19050">
              <a:noFill/>
            </a:ln>
          </c:spPr>
          <c:xVal>
            <c:numRef>
              <c:f>'Дин. х-ка автомобиля с ГТК'!$W$17:$W$23</c:f>
              <c:numCache>
                <c:formatCode>0.0</c:formatCode>
                <c:ptCount val="7"/>
                <c:pt idx="0">
                  <c:v>0</c:v>
                </c:pt>
                <c:pt idx="1">
                  <c:v>9.4240797702616455</c:v>
                </c:pt>
                <c:pt idx="2">
                  <c:v>12.900000000000002</c:v>
                </c:pt>
                <c:pt idx="3">
                  <c:v>16.736247606892153</c:v>
                </c:pt>
                <c:pt idx="4">
                  <c:v>26.584043395022334</c:v>
                </c:pt>
                <c:pt idx="5">
                  <c:v>45.298263560944477</c:v>
                </c:pt>
                <c:pt idx="6">
                  <c:v>49.270261646458202</c:v>
                </c:pt>
              </c:numCache>
            </c:numRef>
          </c:xVal>
          <c:yVal>
            <c:numRef>
              <c:f>'Дин. х-ка автомобиля с ГТК'!$AD$17:$AD$23</c:f>
              <c:numCache>
                <c:formatCode>0.00</c:formatCode>
                <c:ptCount val="7"/>
                <c:pt idx="0">
                  <c:v>1.2950051208519087</c:v>
                </c:pt>
                <c:pt idx="1">
                  <c:v>10.758763968116423</c:v>
                </c:pt>
                <c:pt idx="2">
                  <c:v>14.272656748081676</c:v>
                </c:pt>
                <c:pt idx="3">
                  <c:v>18.16547136106503</c:v>
                </c:pt>
                <c:pt idx="4">
                  <c:v>28.279596642828746</c:v>
                </c:pt>
                <c:pt idx="5">
                  <c:v>50.050341484535529</c:v>
                </c:pt>
                <c:pt idx="6">
                  <c:v>63.645570642794183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66D-48C4-AB73-9F158799E4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579328"/>
        <c:axId val="218581248"/>
      </c:scatterChart>
      <c:valAx>
        <c:axId val="218579328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baseline="0">
                    <a:effectLst/>
                  </a:rPr>
                  <a:t>V</a:t>
                </a:r>
                <a:r>
                  <a:rPr lang="ru-RU" sz="1000" b="1" i="0" baseline="0">
                    <a:effectLst/>
                  </a:rPr>
                  <a:t>, м/с</a:t>
                </a:r>
                <a:endParaRPr lang="ru-RU" sz="1000">
                  <a:effectLst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218581248"/>
        <c:crosses val="autoZero"/>
        <c:crossBetween val="midCat"/>
      </c:valAx>
      <c:valAx>
        <c:axId val="218581248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t</a:t>
                </a:r>
                <a:r>
                  <a:rPr lang="ru-RU"/>
                  <a:t>р, с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1857932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200"/>
              <a:t>Динамическая</a:t>
            </a:r>
            <a:r>
              <a:rPr lang="ru-RU" sz="1200" baseline="0"/>
              <a:t> характеристика</a:t>
            </a:r>
            <a:endParaRPr lang="ru-RU" sz="1200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'Тяговые и разгонные х-ки'!$V$3</c:f>
              <c:strCache>
                <c:ptCount val="1"/>
                <c:pt idx="0">
                  <c:v>βϕ</c:v>
                </c:pt>
              </c:strCache>
            </c:strRef>
          </c:tx>
          <c:marker>
            <c:symbol val="none"/>
          </c:marker>
          <c:xVal>
            <c:numRef>
              <c:f>'Тяговые и разгонные х-ки'!$U$4:$U$27</c:f>
              <c:numCache>
                <c:formatCode>0.00</c:formatCode>
                <c:ptCount val="24"/>
                <c:pt idx="0">
                  <c:v>10.624571036376114</c:v>
                </c:pt>
                <c:pt idx="1">
                  <c:v>11.805078929306793</c:v>
                </c:pt>
                <c:pt idx="2">
                  <c:v>12.985586822237474</c:v>
                </c:pt>
                <c:pt idx="3">
                  <c:v>14.166094715168153</c:v>
                </c:pt>
                <c:pt idx="4">
                  <c:v>15.346602608098831</c:v>
                </c:pt>
                <c:pt idx="5">
                  <c:v>16.527110501029512</c:v>
                </c:pt>
                <c:pt idx="6">
                  <c:v>17.707618393960193</c:v>
                </c:pt>
                <c:pt idx="7">
                  <c:v>18.592999313658201</c:v>
                </c:pt>
                <c:pt idx="8">
                  <c:v>18.576000000000001</c:v>
                </c:pt>
                <c:pt idx="9">
                  <c:v>20.64</c:v>
                </c:pt>
                <c:pt idx="10">
                  <c:v>22.704000000000001</c:v>
                </c:pt>
                <c:pt idx="11">
                  <c:v>24.768000000000001</c:v>
                </c:pt>
                <c:pt idx="12">
                  <c:v>26.832000000000001</c:v>
                </c:pt>
                <c:pt idx="13">
                  <c:v>28.896000000000004</c:v>
                </c:pt>
                <c:pt idx="14">
                  <c:v>30.96</c:v>
                </c:pt>
                <c:pt idx="15">
                  <c:v>32.507999999999996</c:v>
                </c:pt>
                <c:pt idx="16">
                  <c:v>29.636247606892152</c:v>
                </c:pt>
                <c:pt idx="17">
                  <c:v>32.929164007657945</c:v>
                </c:pt>
                <c:pt idx="18">
                  <c:v>36.222080408423743</c:v>
                </c:pt>
                <c:pt idx="19">
                  <c:v>39.514996809189533</c:v>
                </c:pt>
                <c:pt idx="20">
                  <c:v>42.807913209955331</c:v>
                </c:pt>
                <c:pt idx="21">
                  <c:v>46.100829610721128</c:v>
                </c:pt>
                <c:pt idx="22">
                  <c:v>49.393746011486925</c:v>
                </c:pt>
                <c:pt idx="23">
                  <c:v>51.863433312061261</c:v>
                </c:pt>
              </c:numCache>
            </c:numRef>
          </c:xVal>
          <c:yVal>
            <c:numRef>
              <c:f>'Тяговые и разгонные х-ки'!$V$4:$V$27</c:f>
              <c:numCache>
                <c:formatCode>0.00</c:formatCode>
                <c:ptCount val="24"/>
                <c:pt idx="0">
                  <c:v>0.33750000000000002</c:v>
                </c:pt>
                <c:pt idx="1">
                  <c:v>0.33750000000000002</c:v>
                </c:pt>
                <c:pt idx="2">
                  <c:v>0.33750000000000002</c:v>
                </c:pt>
                <c:pt idx="3">
                  <c:v>0.33750000000000002</c:v>
                </c:pt>
                <c:pt idx="4">
                  <c:v>0.33750000000000002</c:v>
                </c:pt>
                <c:pt idx="5">
                  <c:v>0.33750000000000002</c:v>
                </c:pt>
                <c:pt idx="6">
                  <c:v>0.33750000000000002</c:v>
                </c:pt>
                <c:pt idx="7">
                  <c:v>0.33750000000000002</c:v>
                </c:pt>
                <c:pt idx="8">
                  <c:v>0.33750000000000002</c:v>
                </c:pt>
                <c:pt idx="9">
                  <c:v>0.33750000000000002</c:v>
                </c:pt>
                <c:pt idx="10">
                  <c:v>0.33750000000000002</c:v>
                </c:pt>
                <c:pt idx="11">
                  <c:v>0.33750000000000002</c:v>
                </c:pt>
                <c:pt idx="12">
                  <c:v>0.33750000000000002</c:v>
                </c:pt>
                <c:pt idx="13">
                  <c:v>0.33750000000000002</c:v>
                </c:pt>
                <c:pt idx="14">
                  <c:v>0.33750000000000002</c:v>
                </c:pt>
                <c:pt idx="15">
                  <c:v>0.33750000000000002</c:v>
                </c:pt>
                <c:pt idx="16">
                  <c:v>0.33750000000000002</c:v>
                </c:pt>
                <c:pt idx="17">
                  <c:v>0.33750000000000002</c:v>
                </c:pt>
                <c:pt idx="18">
                  <c:v>0.33750000000000002</c:v>
                </c:pt>
                <c:pt idx="19">
                  <c:v>0.33750000000000002</c:v>
                </c:pt>
                <c:pt idx="20">
                  <c:v>0.33750000000000002</c:v>
                </c:pt>
                <c:pt idx="21">
                  <c:v>0.33750000000000002</c:v>
                </c:pt>
                <c:pt idx="22">
                  <c:v>0.33750000000000002</c:v>
                </c:pt>
                <c:pt idx="23">
                  <c:v>0.33750000000000002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AD9-432D-908E-365B77C90872}"/>
            </c:ext>
          </c:extLst>
        </c:ser>
        <c:ser>
          <c:idx val="1"/>
          <c:order val="1"/>
          <c:tx>
            <c:strRef>
              <c:f>'Тяговые и разгонные х-ки'!$W$3</c:f>
              <c:strCache>
                <c:ptCount val="1"/>
                <c:pt idx="0">
                  <c:v>ψ</c:v>
                </c:pt>
              </c:strCache>
            </c:strRef>
          </c:tx>
          <c:marker>
            <c:symbol val="none"/>
          </c:marker>
          <c:xVal>
            <c:numRef>
              <c:f>'Тяговые и разгонные х-ки'!$U$4:$U$27</c:f>
              <c:numCache>
                <c:formatCode>0.00</c:formatCode>
                <c:ptCount val="24"/>
                <c:pt idx="0">
                  <c:v>10.624571036376114</c:v>
                </c:pt>
                <c:pt idx="1">
                  <c:v>11.805078929306793</c:v>
                </c:pt>
                <c:pt idx="2">
                  <c:v>12.985586822237474</c:v>
                </c:pt>
                <c:pt idx="3">
                  <c:v>14.166094715168153</c:v>
                </c:pt>
                <c:pt idx="4">
                  <c:v>15.346602608098831</c:v>
                </c:pt>
                <c:pt idx="5">
                  <c:v>16.527110501029512</c:v>
                </c:pt>
                <c:pt idx="6">
                  <c:v>17.707618393960193</c:v>
                </c:pt>
                <c:pt idx="7">
                  <c:v>18.592999313658201</c:v>
                </c:pt>
                <c:pt idx="8">
                  <c:v>18.576000000000001</c:v>
                </c:pt>
                <c:pt idx="9">
                  <c:v>20.64</c:v>
                </c:pt>
                <c:pt idx="10">
                  <c:v>22.704000000000001</c:v>
                </c:pt>
                <c:pt idx="11">
                  <c:v>24.768000000000001</c:v>
                </c:pt>
                <c:pt idx="12">
                  <c:v>26.832000000000001</c:v>
                </c:pt>
                <c:pt idx="13">
                  <c:v>28.896000000000004</c:v>
                </c:pt>
                <c:pt idx="14">
                  <c:v>30.96</c:v>
                </c:pt>
                <c:pt idx="15">
                  <c:v>32.507999999999996</c:v>
                </c:pt>
                <c:pt idx="16">
                  <c:v>29.636247606892152</c:v>
                </c:pt>
                <c:pt idx="17">
                  <c:v>32.929164007657945</c:v>
                </c:pt>
                <c:pt idx="18">
                  <c:v>36.222080408423743</c:v>
                </c:pt>
                <c:pt idx="19">
                  <c:v>39.514996809189533</c:v>
                </c:pt>
                <c:pt idx="20">
                  <c:v>42.807913209955331</c:v>
                </c:pt>
                <c:pt idx="21">
                  <c:v>46.100829610721128</c:v>
                </c:pt>
                <c:pt idx="22">
                  <c:v>49.393746011486925</c:v>
                </c:pt>
                <c:pt idx="23">
                  <c:v>51.863433312061261</c:v>
                </c:pt>
              </c:numCache>
            </c:numRef>
          </c:xVal>
          <c:yVal>
            <c:numRef>
              <c:f>'Тяговые и разгонные х-ки'!$W$4:$W$27</c:f>
              <c:numCache>
                <c:formatCode>0.00</c:formatCode>
                <c:ptCount val="24"/>
                <c:pt idx="0">
                  <c:v>0.02</c:v>
                </c:pt>
                <c:pt idx="1">
                  <c:v>0.02</c:v>
                </c:pt>
                <c:pt idx="2">
                  <c:v>0.02</c:v>
                </c:pt>
                <c:pt idx="3">
                  <c:v>0.02</c:v>
                </c:pt>
                <c:pt idx="4">
                  <c:v>0.02</c:v>
                </c:pt>
                <c:pt idx="5">
                  <c:v>0.02</c:v>
                </c:pt>
                <c:pt idx="6">
                  <c:v>0.02</c:v>
                </c:pt>
                <c:pt idx="7">
                  <c:v>0.02</c:v>
                </c:pt>
                <c:pt idx="8">
                  <c:v>0.02</c:v>
                </c:pt>
                <c:pt idx="9">
                  <c:v>0.02</c:v>
                </c:pt>
                <c:pt idx="10">
                  <c:v>0.02</c:v>
                </c:pt>
                <c:pt idx="11">
                  <c:v>0.02</c:v>
                </c:pt>
                <c:pt idx="12">
                  <c:v>0.02</c:v>
                </c:pt>
                <c:pt idx="13">
                  <c:v>0.02</c:v>
                </c:pt>
                <c:pt idx="14">
                  <c:v>0.02</c:v>
                </c:pt>
                <c:pt idx="15">
                  <c:v>0.02</c:v>
                </c:pt>
                <c:pt idx="16">
                  <c:v>0.02</c:v>
                </c:pt>
                <c:pt idx="17">
                  <c:v>0.02</c:v>
                </c:pt>
                <c:pt idx="18">
                  <c:v>0.02</c:v>
                </c:pt>
                <c:pt idx="19">
                  <c:v>0.02</c:v>
                </c:pt>
                <c:pt idx="20">
                  <c:v>0.02</c:v>
                </c:pt>
                <c:pt idx="21">
                  <c:v>0.02</c:v>
                </c:pt>
                <c:pt idx="22">
                  <c:v>0.02</c:v>
                </c:pt>
                <c:pt idx="23">
                  <c:v>0.02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AD9-432D-908E-365B77C90872}"/>
            </c:ext>
          </c:extLst>
        </c:ser>
        <c:ser>
          <c:idx val="2"/>
          <c:order val="2"/>
          <c:tx>
            <c:v>DI</c:v>
          </c:tx>
          <c:marker>
            <c:symbol val="none"/>
          </c:marker>
          <c:xVal>
            <c:numRef>
              <c:f>'Тяговые и разгонные х-ки'!$E$4:$E$11</c:f>
              <c:numCache>
                <c:formatCode>0.0</c:formatCode>
                <c:ptCount val="8"/>
                <c:pt idx="0">
                  <c:v>10.624571036376114</c:v>
                </c:pt>
                <c:pt idx="1">
                  <c:v>11.805078929306793</c:v>
                </c:pt>
                <c:pt idx="2">
                  <c:v>12.985586822237474</c:v>
                </c:pt>
                <c:pt idx="3">
                  <c:v>14.166094715168153</c:v>
                </c:pt>
                <c:pt idx="4">
                  <c:v>15.346602608098831</c:v>
                </c:pt>
                <c:pt idx="5">
                  <c:v>16.527110501029512</c:v>
                </c:pt>
                <c:pt idx="6">
                  <c:v>17.707618393960193</c:v>
                </c:pt>
                <c:pt idx="7">
                  <c:v>18.592999313658201</c:v>
                </c:pt>
              </c:numCache>
            </c:numRef>
          </c:xVal>
          <c:yVal>
            <c:numRef>
              <c:f>'Тяговые и разгонные х-ки'!$I$4:$I$11</c:f>
              <c:numCache>
                <c:formatCode>0.000</c:formatCode>
                <c:ptCount val="8"/>
                <c:pt idx="0">
                  <c:v>0.24562834937813499</c:v>
                </c:pt>
                <c:pt idx="1">
                  <c:v>0.24238896114106182</c:v>
                </c:pt>
                <c:pt idx="2">
                  <c:v>0.2386643325784655</c:v>
                </c:pt>
                <c:pt idx="3">
                  <c:v>0.23449362124560522</c:v>
                </c:pt>
                <c:pt idx="4">
                  <c:v>0.22410735883019667</c:v>
                </c:pt>
                <c:pt idx="5">
                  <c:v>0.21206301333647479</c:v>
                </c:pt>
                <c:pt idx="6">
                  <c:v>0.19886176054523613</c:v>
                </c:pt>
                <c:pt idx="7">
                  <c:v>0.19048148946054469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AD9-432D-908E-365B77C90872}"/>
            </c:ext>
          </c:extLst>
        </c:ser>
        <c:ser>
          <c:idx val="3"/>
          <c:order val="3"/>
          <c:tx>
            <c:v>DII</c:v>
          </c:tx>
          <c:marker>
            <c:symbol val="none"/>
          </c:marker>
          <c:xVal>
            <c:numRef>
              <c:f>'Тяговые и разгонные х-ки'!$E$12:$E$19</c:f>
              <c:numCache>
                <c:formatCode>0.0</c:formatCode>
                <c:ptCount val="8"/>
                <c:pt idx="0">
                  <c:v>18.576000000000001</c:v>
                </c:pt>
                <c:pt idx="1">
                  <c:v>20.64</c:v>
                </c:pt>
                <c:pt idx="2">
                  <c:v>22.704000000000001</c:v>
                </c:pt>
                <c:pt idx="3">
                  <c:v>24.768000000000001</c:v>
                </c:pt>
                <c:pt idx="4">
                  <c:v>26.832000000000001</c:v>
                </c:pt>
                <c:pt idx="5">
                  <c:v>28.896000000000004</c:v>
                </c:pt>
                <c:pt idx="6">
                  <c:v>30.96</c:v>
                </c:pt>
                <c:pt idx="7">
                  <c:v>32.507999999999996</c:v>
                </c:pt>
              </c:numCache>
            </c:numRef>
          </c:xVal>
          <c:yVal>
            <c:numRef>
              <c:f>'Тяговые и разгонные х-ки'!$I$12:$I$19</c:f>
              <c:numCache>
                <c:formatCode>0.000</c:formatCode>
                <c:ptCount val="8"/>
                <c:pt idx="0">
                  <c:v>0.13317625988732656</c:v>
                </c:pt>
                <c:pt idx="1">
                  <c:v>0.12960850409483865</c:v>
                </c:pt>
                <c:pt idx="2">
                  <c:v>0.12558268986197321</c:v>
                </c:pt>
                <c:pt idx="3">
                  <c:v>0.12112121341113881</c:v>
                </c:pt>
                <c:pt idx="4">
                  <c:v>0.11292421869550164</c:v>
                </c:pt>
                <c:pt idx="5">
                  <c:v>0.10359835636950858</c:v>
                </c:pt>
                <c:pt idx="6">
                  <c:v>9.3430274672004585E-2</c:v>
                </c:pt>
                <c:pt idx="7">
                  <c:v>8.6555492822122687E-2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AD9-432D-908E-365B77C90872}"/>
            </c:ext>
          </c:extLst>
        </c:ser>
        <c:ser>
          <c:idx val="4"/>
          <c:order val="4"/>
          <c:tx>
            <c:v>D III</c:v>
          </c:tx>
          <c:marker>
            <c:symbol val="none"/>
          </c:marker>
          <c:xVal>
            <c:numRef>
              <c:f>'Тяговые и разгонные х-ки'!$E$20:$E$27</c:f>
              <c:numCache>
                <c:formatCode>0.0</c:formatCode>
                <c:ptCount val="8"/>
                <c:pt idx="0">
                  <c:v>29.636247606892152</c:v>
                </c:pt>
                <c:pt idx="1">
                  <c:v>32.929164007657945</c:v>
                </c:pt>
                <c:pt idx="2">
                  <c:v>36.222080408423743</c:v>
                </c:pt>
                <c:pt idx="3">
                  <c:v>39.514996809189533</c:v>
                </c:pt>
                <c:pt idx="4">
                  <c:v>42.807913209955331</c:v>
                </c:pt>
                <c:pt idx="5">
                  <c:v>46.100829610721128</c:v>
                </c:pt>
                <c:pt idx="6">
                  <c:v>49.393746011486925</c:v>
                </c:pt>
                <c:pt idx="7">
                  <c:v>51.863433312061261</c:v>
                </c:pt>
              </c:numCache>
            </c:numRef>
          </c:xVal>
          <c:yVal>
            <c:numRef>
              <c:f>'Тяговые и разгонные х-ки'!$I$20:$I$27</c:f>
              <c:numCache>
                <c:formatCode>0.000</c:formatCode>
                <c:ptCount val="8"/>
                <c:pt idx="0">
                  <c:v>6.6219647923350736E-2</c:v>
                </c:pt>
                <c:pt idx="1">
                  <c:v>5.9935855090070107E-2</c:v>
                </c:pt>
                <c:pt idx="2">
                  <c:v>5.2938896120829353E-2</c:v>
                </c:pt>
                <c:pt idx="3">
                  <c:v>4.5242808967834169E-2</c:v>
                </c:pt>
                <c:pt idx="4">
                  <c:v>3.4779243860929107E-2</c:v>
                </c:pt>
                <c:pt idx="5">
                  <c:v>2.3182049430321476E-2</c:v>
                </c:pt>
                <c:pt idx="6">
                  <c:v>1.0630896792119288E-2</c:v>
                </c:pt>
                <c:pt idx="7">
                  <c:v>1.4088355929532648E-3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190-45AD-B260-9AC7138005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9361664"/>
        <c:axId val="219363584"/>
      </c:scatterChart>
      <c:valAx>
        <c:axId val="219361664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</a:t>
                </a:r>
                <a:r>
                  <a:rPr lang="ru-RU"/>
                  <a:t>,</a:t>
                </a:r>
                <a:r>
                  <a:rPr lang="ru-RU" baseline="0"/>
                  <a:t> м/с</a:t>
                </a:r>
                <a:endParaRPr lang="ru-RU"/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19363584"/>
        <c:crosses val="autoZero"/>
        <c:crossBetween val="midCat"/>
      </c:valAx>
      <c:valAx>
        <c:axId val="219363584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D</a:t>
                </a:r>
                <a:endParaRPr lang="ru-RU"/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19361664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200"/>
              <a:t>График</a:t>
            </a:r>
            <a:r>
              <a:rPr lang="ru-RU" sz="1200" baseline="0"/>
              <a:t> ускорения автомобиля</a:t>
            </a:r>
            <a:endParaRPr lang="ru-RU" sz="1200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j I</c:v>
          </c:tx>
          <c:marker>
            <c:symbol val="none"/>
          </c:marker>
          <c:xVal>
            <c:numRef>
              <c:f>'Тяговые и разгонные х-ки'!$E$4:$E$11</c:f>
              <c:numCache>
                <c:formatCode>0.0</c:formatCode>
                <c:ptCount val="8"/>
                <c:pt idx="0">
                  <c:v>10.624571036376114</c:v>
                </c:pt>
                <c:pt idx="1">
                  <c:v>11.805078929306793</c:v>
                </c:pt>
                <c:pt idx="2">
                  <c:v>12.985586822237474</c:v>
                </c:pt>
                <c:pt idx="3">
                  <c:v>14.166094715168153</c:v>
                </c:pt>
                <c:pt idx="4">
                  <c:v>15.346602608098831</c:v>
                </c:pt>
                <c:pt idx="5">
                  <c:v>16.527110501029512</c:v>
                </c:pt>
                <c:pt idx="6">
                  <c:v>17.707618393960193</c:v>
                </c:pt>
                <c:pt idx="7">
                  <c:v>18.592999313658201</c:v>
                </c:pt>
              </c:numCache>
            </c:numRef>
          </c:xVal>
          <c:yVal>
            <c:numRef>
              <c:f>'Тяговые и разгонные х-ки'!$J$4:$J$11</c:f>
              <c:numCache>
                <c:formatCode>0.00</c:formatCode>
                <c:ptCount val="8"/>
                <c:pt idx="0">
                  <c:v>1.7145288105104048</c:v>
                </c:pt>
                <c:pt idx="1">
                  <c:v>1.6899130010334567</c:v>
                </c:pt>
                <c:pt idx="2">
                  <c:v>1.6616098955211307</c:v>
                </c:pt>
                <c:pt idx="3">
                  <c:v>1.6299170485884651</c:v>
                </c:pt>
                <c:pt idx="4">
                  <c:v>1.550992807934223</c:v>
                </c:pt>
                <c:pt idx="5">
                  <c:v>1.4594689484119474</c:v>
                </c:pt>
                <c:pt idx="6">
                  <c:v>1.3591538580973128</c:v>
                </c:pt>
                <c:pt idx="7">
                  <c:v>1.2954729587148031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061-4B9F-BABD-895BB88FA497}"/>
            </c:ext>
          </c:extLst>
        </c:ser>
        <c:ser>
          <c:idx val="1"/>
          <c:order val="1"/>
          <c:tx>
            <c:v>j II</c:v>
          </c:tx>
          <c:marker>
            <c:symbol val="none"/>
          </c:marker>
          <c:xVal>
            <c:numRef>
              <c:f>'Тяговые и разгонные х-ки'!$E$12:$E$19</c:f>
              <c:numCache>
                <c:formatCode>0.0</c:formatCode>
                <c:ptCount val="8"/>
                <c:pt idx="0">
                  <c:v>18.576000000000001</c:v>
                </c:pt>
                <c:pt idx="1">
                  <c:v>20.64</c:v>
                </c:pt>
                <c:pt idx="2">
                  <c:v>22.704000000000001</c:v>
                </c:pt>
                <c:pt idx="3">
                  <c:v>24.768000000000001</c:v>
                </c:pt>
                <c:pt idx="4">
                  <c:v>26.832000000000001</c:v>
                </c:pt>
                <c:pt idx="5">
                  <c:v>28.896000000000004</c:v>
                </c:pt>
                <c:pt idx="6">
                  <c:v>30.96</c:v>
                </c:pt>
                <c:pt idx="7">
                  <c:v>32.507999999999996</c:v>
                </c:pt>
              </c:numCache>
            </c:numRef>
          </c:xVal>
          <c:yVal>
            <c:numRef>
              <c:f>'Тяговые и разгонные х-ки'!$J$12:$J$19</c:f>
              <c:numCache>
                <c:formatCode>0.00</c:formatCode>
                <c:ptCount val="8"/>
                <c:pt idx="0">
                  <c:v>0.9894465638253217</c:v>
                </c:pt>
                <c:pt idx="1">
                  <c:v>0.95825536071470929</c:v>
                </c:pt>
                <c:pt idx="2">
                  <c:v>0.9230595690948642</c:v>
                </c:pt>
                <c:pt idx="3">
                  <c:v>0.8840549885559732</c:v>
                </c:pt>
                <c:pt idx="4">
                  <c:v>0.81239253687965896</c:v>
                </c:pt>
                <c:pt idx="5">
                  <c:v>0.73086092908180189</c:v>
                </c:pt>
                <c:pt idx="6">
                  <c:v>0.64196619527184429</c:v>
                </c:pt>
                <c:pt idx="7">
                  <c:v>0.58186322592839423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061-4B9F-BABD-895BB88FA497}"/>
            </c:ext>
          </c:extLst>
        </c:ser>
        <c:ser>
          <c:idx val="2"/>
          <c:order val="2"/>
          <c:tx>
            <c:v>j III</c:v>
          </c:tx>
          <c:marker>
            <c:symbol val="none"/>
          </c:marker>
          <c:xVal>
            <c:numRef>
              <c:f>'Тяговые и разгонные х-ки'!$E$20:$E$27</c:f>
              <c:numCache>
                <c:formatCode>0.0</c:formatCode>
                <c:ptCount val="8"/>
                <c:pt idx="0">
                  <c:v>29.636247606892152</c:v>
                </c:pt>
                <c:pt idx="1">
                  <c:v>32.929164007657945</c:v>
                </c:pt>
                <c:pt idx="2">
                  <c:v>36.222080408423743</c:v>
                </c:pt>
                <c:pt idx="3">
                  <c:v>39.514996809189533</c:v>
                </c:pt>
                <c:pt idx="4">
                  <c:v>42.807913209955331</c:v>
                </c:pt>
                <c:pt idx="5">
                  <c:v>46.100829610721128</c:v>
                </c:pt>
                <c:pt idx="6">
                  <c:v>49.393746011486925</c:v>
                </c:pt>
                <c:pt idx="7">
                  <c:v>51.863433312061261</c:v>
                </c:pt>
              </c:numCache>
            </c:numRef>
          </c:xVal>
          <c:yVal>
            <c:numRef>
              <c:f>'Тяговые и разгонные х-ки'!$J$20:$J$27</c:f>
              <c:numCache>
                <c:formatCode>0.00</c:formatCode>
                <c:ptCount val="8"/>
                <c:pt idx="0">
                  <c:v>0.42286063454766254</c:v>
                </c:pt>
                <c:pt idx="1">
                  <c:v>0.36537061148964045</c:v>
                </c:pt>
                <c:pt idx="2">
                  <c:v>0.30135587657552365</c:v>
                </c:pt>
                <c:pt idx="3">
                  <c:v>0.23094486214186527</c:v>
                </c:pt>
                <c:pt idx="4">
                  <c:v>0.13521436700537423</c:v>
                </c:pt>
                <c:pt idx="5">
                  <c:v>2.9112368910711072E-2</c:v>
                </c:pt>
                <c:pt idx="6">
                  <c:v>-8.5717332468588897E-2</c:v>
                </c:pt>
                <c:pt idx="7">
                  <c:v>-0.1700893869027503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6F-4CCD-9F84-A64F1E3931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509696"/>
        <c:axId val="218511616"/>
      </c:scatterChart>
      <c:valAx>
        <c:axId val="218509696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</a:t>
                </a:r>
                <a:r>
                  <a:rPr lang="ru-RU"/>
                  <a:t>,</a:t>
                </a:r>
                <a:r>
                  <a:rPr lang="ru-RU" baseline="0"/>
                  <a:t> м/с</a:t>
                </a:r>
                <a:endParaRPr lang="ru-RU"/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218511616"/>
        <c:crosses val="autoZero"/>
        <c:crossBetween val="midCat"/>
      </c:valAx>
      <c:valAx>
        <c:axId val="218511616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baseline="0">
                    <a:effectLst/>
                  </a:rPr>
                  <a:t>j, </a:t>
                </a:r>
                <a:r>
                  <a:rPr lang="ru-RU" sz="1000" b="1" i="0" baseline="0">
                    <a:effectLst/>
                  </a:rPr>
                  <a:t>м/с^2</a:t>
                </a:r>
                <a:endParaRPr lang="ru-RU" sz="1000">
                  <a:effectLst/>
                </a:endParaRP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18509696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200"/>
              <a:t>График</a:t>
            </a:r>
            <a:r>
              <a:rPr lang="ru-RU" sz="1200" baseline="0"/>
              <a:t> "обратного ускорения" автомобиля</a:t>
            </a:r>
            <a:endParaRPr lang="ru-RU" sz="1200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1/j I</c:v>
          </c:tx>
          <c:marker>
            <c:symbol val="none"/>
          </c:marker>
          <c:xVal>
            <c:numRef>
              <c:f>'Тяговые и разгонные х-ки'!$E$4:$E$11</c:f>
              <c:numCache>
                <c:formatCode>0.0</c:formatCode>
                <c:ptCount val="8"/>
                <c:pt idx="0">
                  <c:v>10.624571036376114</c:v>
                </c:pt>
                <c:pt idx="1">
                  <c:v>11.805078929306793</c:v>
                </c:pt>
                <c:pt idx="2">
                  <c:v>12.985586822237474</c:v>
                </c:pt>
                <c:pt idx="3">
                  <c:v>14.166094715168153</c:v>
                </c:pt>
                <c:pt idx="4">
                  <c:v>15.346602608098831</c:v>
                </c:pt>
                <c:pt idx="5">
                  <c:v>16.527110501029512</c:v>
                </c:pt>
                <c:pt idx="6">
                  <c:v>17.707618393960193</c:v>
                </c:pt>
                <c:pt idx="7">
                  <c:v>18.592999313658201</c:v>
                </c:pt>
              </c:numCache>
            </c:numRef>
          </c:xVal>
          <c:yVal>
            <c:numRef>
              <c:f>'Тяговые и разгонные х-ки'!$K$4:$K$11</c:f>
              <c:numCache>
                <c:formatCode>0.00</c:formatCode>
                <c:ptCount val="8"/>
                <c:pt idx="0">
                  <c:v>0.58325062481878387</c:v>
                </c:pt>
                <c:pt idx="1">
                  <c:v>0.59174643865598742</c:v>
                </c:pt>
                <c:pt idx="2">
                  <c:v>0.60182597774333191</c:v>
                </c:pt>
                <c:pt idx="3">
                  <c:v>0.61352815523097715</c:v>
                </c:pt>
                <c:pt idx="4">
                  <c:v>0.64474831532707511</c:v>
                </c:pt>
                <c:pt idx="5">
                  <c:v>0.68518073035271021</c:v>
                </c:pt>
                <c:pt idx="6">
                  <c:v>0.73575187536156184</c:v>
                </c:pt>
                <c:pt idx="7">
                  <c:v>0.77191885270385552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D2C-4B7A-BE5B-F11DC65FF779}"/>
            </c:ext>
          </c:extLst>
        </c:ser>
        <c:ser>
          <c:idx val="1"/>
          <c:order val="1"/>
          <c:marker>
            <c:symbol val="none"/>
          </c:marker>
          <c:xVal>
            <c:numRef>
              <c:f>'Тяговые и разгонные х-ки'!$E$12:$E$19</c:f>
              <c:numCache>
                <c:formatCode>0.0</c:formatCode>
                <c:ptCount val="8"/>
                <c:pt idx="0">
                  <c:v>18.576000000000001</c:v>
                </c:pt>
                <c:pt idx="1">
                  <c:v>20.64</c:v>
                </c:pt>
                <c:pt idx="2">
                  <c:v>22.704000000000001</c:v>
                </c:pt>
                <c:pt idx="3">
                  <c:v>24.768000000000001</c:v>
                </c:pt>
                <c:pt idx="4">
                  <c:v>26.832000000000001</c:v>
                </c:pt>
                <c:pt idx="5">
                  <c:v>28.896000000000004</c:v>
                </c:pt>
                <c:pt idx="6">
                  <c:v>30.96</c:v>
                </c:pt>
                <c:pt idx="7">
                  <c:v>32.507999999999996</c:v>
                </c:pt>
              </c:numCache>
            </c:numRef>
          </c:xVal>
          <c:yVal>
            <c:numRef>
              <c:f>'Тяговые и разгонные х-ки'!$K$12:$K$19</c:f>
              <c:numCache>
                <c:formatCode>0.00</c:formatCode>
                <c:ptCount val="8"/>
                <c:pt idx="0">
                  <c:v>1.0106659991155837</c:v>
                </c:pt>
                <c:pt idx="1">
                  <c:v>1.043563168020428</c:v>
                </c:pt>
                <c:pt idx="2">
                  <c:v>1.0833537005424061</c:v>
                </c:pt>
                <c:pt idx="3">
                  <c:v>1.1311513570365266</c:v>
                </c:pt>
                <c:pt idx="4">
                  <c:v>1.2309320366739553</c:v>
                </c:pt>
                <c:pt idx="5">
                  <c:v>1.3682493621000154</c:v>
                </c:pt>
                <c:pt idx="6">
                  <c:v>1.5577144207360394</c:v>
                </c:pt>
                <c:pt idx="7">
                  <c:v>1.7186169454246674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D2C-4B7A-BE5B-F11DC65FF779}"/>
            </c:ext>
          </c:extLst>
        </c:ser>
        <c:ser>
          <c:idx val="2"/>
          <c:order val="2"/>
          <c:marker>
            <c:symbol val="none"/>
          </c:marker>
          <c:xVal>
            <c:numRef>
              <c:f>'Тяговые и разгонные х-ки'!$E$20:$E$24</c:f>
              <c:numCache>
                <c:formatCode>0.0</c:formatCode>
                <c:ptCount val="5"/>
                <c:pt idx="0">
                  <c:v>29.636247606892152</c:v>
                </c:pt>
                <c:pt idx="1">
                  <c:v>32.929164007657945</c:v>
                </c:pt>
                <c:pt idx="2">
                  <c:v>36.222080408423743</c:v>
                </c:pt>
                <c:pt idx="3">
                  <c:v>39.514996809189533</c:v>
                </c:pt>
                <c:pt idx="4">
                  <c:v>42.807913209955331</c:v>
                </c:pt>
              </c:numCache>
            </c:numRef>
          </c:xVal>
          <c:yVal>
            <c:numRef>
              <c:f>'Тяговые и разгонные х-ки'!$K$20:$K$24</c:f>
              <c:numCache>
                <c:formatCode>0.00</c:formatCode>
                <c:ptCount val="5"/>
                <c:pt idx="0">
                  <c:v>2.3648453374471901</c:v>
                </c:pt>
                <c:pt idx="1">
                  <c:v>2.7369470027239822</c:v>
                </c:pt>
                <c:pt idx="2">
                  <c:v>3.3183358206369244</c:v>
                </c:pt>
                <c:pt idx="3">
                  <c:v>4.3300378745196682</c:v>
                </c:pt>
                <c:pt idx="4">
                  <c:v>7.3956638051654231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D2C-4B7A-BE5B-F11DC65FF7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554752"/>
        <c:axId val="218556672"/>
      </c:scatterChart>
      <c:valAx>
        <c:axId val="218554752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</a:t>
                </a:r>
                <a:r>
                  <a:rPr lang="ru-RU"/>
                  <a:t>,</a:t>
                </a:r>
                <a:r>
                  <a:rPr lang="ru-RU" baseline="0"/>
                  <a:t> м/с</a:t>
                </a:r>
                <a:endParaRPr lang="ru-RU"/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218556672"/>
        <c:crosses val="autoZero"/>
        <c:crossBetween val="midCat"/>
      </c:valAx>
      <c:valAx>
        <c:axId val="218556672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ru-RU"/>
                  <a:t>1/</a:t>
                </a:r>
                <a:r>
                  <a:rPr lang="en-US"/>
                  <a:t>j,</a:t>
                </a:r>
                <a:r>
                  <a:rPr lang="en-US" baseline="0"/>
                  <a:t> </a:t>
                </a:r>
                <a:r>
                  <a:rPr lang="ru-RU" baseline="0"/>
                  <a:t>с</a:t>
                </a:r>
                <a:r>
                  <a:rPr lang="en-US" baseline="0"/>
                  <a:t>^2</a:t>
                </a:r>
                <a:r>
                  <a:rPr lang="ru-RU" baseline="0"/>
                  <a:t>/м</a:t>
                </a:r>
                <a:endParaRPr lang="ru-RU"/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18554752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200"/>
              <a:t>Время разгона автомобиля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'Тяговые и разгонные х-ки'!$E$4:$E$11</c:f>
              <c:numCache>
                <c:formatCode>0.0</c:formatCode>
                <c:ptCount val="8"/>
                <c:pt idx="0">
                  <c:v>10.624571036376114</c:v>
                </c:pt>
                <c:pt idx="1">
                  <c:v>11.805078929306793</c:v>
                </c:pt>
                <c:pt idx="2">
                  <c:v>12.985586822237474</c:v>
                </c:pt>
                <c:pt idx="3">
                  <c:v>14.166094715168153</c:v>
                </c:pt>
                <c:pt idx="4">
                  <c:v>15.346602608098831</c:v>
                </c:pt>
                <c:pt idx="5">
                  <c:v>16.527110501029512</c:v>
                </c:pt>
                <c:pt idx="6">
                  <c:v>17.707618393960193</c:v>
                </c:pt>
                <c:pt idx="7">
                  <c:v>18.592999313658201</c:v>
                </c:pt>
              </c:numCache>
            </c:numRef>
          </c:xVal>
          <c:yVal>
            <c:numRef>
              <c:f>'Тяговые и разгонные х-ки'!$L$4:$L$11</c:f>
              <c:numCache>
                <c:formatCode>0.00</c:formatCode>
                <c:ptCount val="8"/>
                <c:pt idx="0">
                  <c:v>6.1967876953979228</c:v>
                </c:pt>
                <c:pt idx="1">
                  <c:v>6.9856134144701318</c:v>
                </c:pt>
                <c:pt idx="2">
                  <c:v>7.8150634858639947</c:v>
                </c:pt>
                <c:pt idx="3">
                  <c:v>8.6912979574244122</c:v>
                </c:pt>
                <c:pt idx="4">
                  <c:v>9.8946961775658178</c:v>
                </c:pt>
                <c:pt idx="5">
                  <c:v>11.324057643715348</c:v>
                </c:pt>
                <c:pt idx="6">
                  <c:v>13.028413441543099</c:v>
                </c:pt>
                <c:pt idx="7">
                  <c:v>14.352286698522612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B0E-409D-9595-AF79E21B3395}"/>
            </c:ext>
          </c:extLst>
        </c:ser>
        <c:ser>
          <c:idx val="1"/>
          <c:order val="1"/>
          <c:spPr>
            <a:ln w="19050">
              <a:noFill/>
            </a:ln>
          </c:spPr>
          <c:xVal>
            <c:numRef>
              <c:f>'Тяговые и разгонные х-ки'!$E$12:$E$19</c:f>
              <c:numCache>
                <c:formatCode>0.0</c:formatCode>
                <c:ptCount val="8"/>
                <c:pt idx="0">
                  <c:v>18.576000000000001</c:v>
                </c:pt>
                <c:pt idx="1">
                  <c:v>20.64</c:v>
                </c:pt>
                <c:pt idx="2">
                  <c:v>22.704000000000001</c:v>
                </c:pt>
                <c:pt idx="3">
                  <c:v>24.768000000000001</c:v>
                </c:pt>
                <c:pt idx="4">
                  <c:v>26.832000000000001</c:v>
                </c:pt>
                <c:pt idx="5">
                  <c:v>28.896000000000004</c:v>
                </c:pt>
                <c:pt idx="6">
                  <c:v>30.96</c:v>
                </c:pt>
                <c:pt idx="7">
                  <c:v>32.507999999999996</c:v>
                </c:pt>
              </c:numCache>
            </c:numRef>
          </c:xVal>
          <c:yVal>
            <c:numRef>
              <c:f>'Тяговые и разгонные х-ки'!$L$12:$L$19</c:f>
              <c:numCache>
                <c:formatCode>0.00</c:formatCode>
                <c:ptCount val="8"/>
                <c:pt idx="0">
                  <c:v>18.774131599571085</c:v>
                </c:pt>
                <c:pt idx="1">
                  <c:v>21.539143787941637</c:v>
                </c:pt>
                <c:pt idx="2">
                  <c:v>24.59646241711479</c:v>
                </c:pt>
                <c:pt idx="3">
                  <c:v>28.016356811080691</c:v>
                </c:pt>
                <c:pt idx="4">
                  <c:v>33.028368408035568</c:v>
                </c:pt>
                <c:pt idx="5">
                  <c:v>39.536933567242052</c:v>
                </c:pt>
                <c:pt idx="6">
                  <c:v>48.226838465987782</c:v>
                </c:pt>
                <c:pt idx="7">
                  <c:v>55.868799661865076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B0E-409D-9595-AF79E21B3395}"/>
            </c:ext>
          </c:extLst>
        </c:ser>
        <c:ser>
          <c:idx val="2"/>
          <c:order val="2"/>
          <c:spPr>
            <a:ln w="19050">
              <a:noFill/>
            </a:ln>
          </c:spPr>
          <c:xVal>
            <c:numRef>
              <c:f>'Тяговые и разгонные х-ки'!$E$20:$E$24</c:f>
              <c:numCache>
                <c:formatCode>0.0</c:formatCode>
                <c:ptCount val="5"/>
                <c:pt idx="0">
                  <c:v>29.636247606892152</c:v>
                </c:pt>
                <c:pt idx="1">
                  <c:v>32.929164007657945</c:v>
                </c:pt>
                <c:pt idx="2">
                  <c:v>36.222080408423743</c:v>
                </c:pt>
                <c:pt idx="3">
                  <c:v>39.514996809189533</c:v>
                </c:pt>
                <c:pt idx="4">
                  <c:v>42.807913209955331</c:v>
                </c:pt>
              </c:numCache>
            </c:numRef>
          </c:xVal>
          <c:yVal>
            <c:numRef>
              <c:f>'Тяговые и разгонные х-ки'!$L$20:$L$24</c:f>
              <c:numCache>
                <c:formatCode>0.00</c:formatCode>
                <c:ptCount val="5"/>
                <c:pt idx="0">
                  <c:v>70.085141972589355</c:v>
                </c:pt>
                <c:pt idx="1">
                  <c:v>90.125376732965847</c:v>
                </c:pt>
                <c:pt idx="2">
                  <c:v>120.19702691726346</c:v>
                </c:pt>
                <c:pt idx="3">
                  <c:v>171.10143279531451</c:v>
                </c:pt>
                <c:pt idx="4">
                  <c:v>316.5929343015294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B0E-409D-9595-AF79E21B33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579328"/>
        <c:axId val="218581248"/>
      </c:scatterChart>
      <c:valAx>
        <c:axId val="218579328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baseline="0">
                    <a:effectLst/>
                  </a:rPr>
                  <a:t>V</a:t>
                </a:r>
                <a:r>
                  <a:rPr lang="ru-RU" sz="1000" b="1" i="0" baseline="0">
                    <a:effectLst/>
                  </a:rPr>
                  <a:t>, м/с</a:t>
                </a:r>
                <a:endParaRPr lang="ru-RU" sz="1000">
                  <a:effectLst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218581248"/>
        <c:crosses val="autoZero"/>
        <c:crossBetween val="midCat"/>
      </c:valAx>
      <c:valAx>
        <c:axId val="218581248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t</a:t>
                </a:r>
                <a:r>
                  <a:rPr lang="ru-RU"/>
                  <a:t>р, с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1857932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200"/>
              <a:t>Путь разгона автомобиля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'Тяговые и разгонные х-ки'!$E$4:$E$11</c:f>
              <c:numCache>
                <c:formatCode>0.0</c:formatCode>
                <c:ptCount val="8"/>
                <c:pt idx="0">
                  <c:v>10.624571036376114</c:v>
                </c:pt>
                <c:pt idx="1">
                  <c:v>11.805078929306793</c:v>
                </c:pt>
                <c:pt idx="2">
                  <c:v>12.985586822237474</c:v>
                </c:pt>
                <c:pt idx="3">
                  <c:v>14.166094715168153</c:v>
                </c:pt>
                <c:pt idx="4">
                  <c:v>15.346602608098831</c:v>
                </c:pt>
                <c:pt idx="5">
                  <c:v>16.527110501029512</c:v>
                </c:pt>
                <c:pt idx="6">
                  <c:v>17.707618393960193</c:v>
                </c:pt>
                <c:pt idx="7">
                  <c:v>18.592999313658201</c:v>
                </c:pt>
              </c:numCache>
            </c:numRef>
          </c:xVal>
          <c:yVal>
            <c:numRef>
              <c:f>'Тяговые и разгонные х-ки'!$M$4:$M$11</c:f>
              <c:numCache>
                <c:formatCode>0.00</c:formatCode>
                <c:ptCount val="8"/>
                <c:pt idx="0">
                  <c:v>32.919105533548333</c:v>
                </c:pt>
                <c:pt idx="1">
                  <c:v>41.232858863722122</c:v>
                </c:pt>
                <c:pt idx="2">
                  <c:v>50.741592708492377</c:v>
                </c:pt>
                <c:pt idx="3">
                  <c:v>61.560875031310864</c:v>
                </c:pt>
                <c:pt idx="4">
                  <c:v>75.924985082488561</c:v>
                </c:pt>
                <c:pt idx="5">
                  <c:v>93.576975998855715</c:v>
                </c:pt>
                <c:pt idx="6">
                  <c:v>115.3510867507934</c:v>
                </c:pt>
                <c:pt idx="7">
                  <c:v>133.42602836752832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62C-4C74-802E-CC03020FE935}"/>
            </c:ext>
          </c:extLst>
        </c:ser>
        <c:ser>
          <c:idx val="1"/>
          <c:order val="1"/>
          <c:spPr>
            <a:ln w="19050">
              <a:noFill/>
            </a:ln>
          </c:spPr>
          <c:xVal>
            <c:numRef>
              <c:f>'Тяговые и разгонные х-ки'!$E$12:$E$19</c:f>
              <c:numCache>
                <c:formatCode>0.0</c:formatCode>
                <c:ptCount val="8"/>
                <c:pt idx="0">
                  <c:v>18.576000000000001</c:v>
                </c:pt>
                <c:pt idx="1">
                  <c:v>20.64</c:v>
                </c:pt>
                <c:pt idx="2">
                  <c:v>22.704000000000001</c:v>
                </c:pt>
                <c:pt idx="3">
                  <c:v>24.768000000000001</c:v>
                </c:pt>
                <c:pt idx="4">
                  <c:v>26.832000000000001</c:v>
                </c:pt>
                <c:pt idx="5">
                  <c:v>28.896000000000004</c:v>
                </c:pt>
                <c:pt idx="6">
                  <c:v>30.96</c:v>
                </c:pt>
                <c:pt idx="7">
                  <c:v>32.507999999999996</c:v>
                </c:pt>
              </c:numCache>
            </c:numRef>
          </c:xVal>
          <c:yVal>
            <c:numRef>
              <c:f>'Тяговые и разгонные х-ки'!$M$12:$M$19</c:f>
              <c:numCache>
                <c:formatCode>0.00</c:formatCode>
                <c:ptCount val="8"/>
                <c:pt idx="0">
                  <c:v>174.37413429681624</c:v>
                </c:pt>
                <c:pt idx="1">
                  <c:v>222.2839638915577</c:v>
                </c:pt>
                <c:pt idx="2">
                  <c:v>279.2190413590871</c:v>
                </c:pt>
                <c:pt idx="3">
                  <c:v>346.95456274842326</c:v>
                </c:pt>
                <c:pt idx="4">
                  <c:v>443.10859056220522</c:v>
                </c:pt>
                <c:pt idx="5">
                  <c:v>571.2296161795133</c:v>
                </c:pt>
                <c:pt idx="6">
                  <c:v>746.55145945349091</c:v>
                </c:pt>
                <c:pt idx="7">
                  <c:v>908.09146970395477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62C-4C74-802E-CC03020FE935}"/>
            </c:ext>
          </c:extLst>
        </c:ser>
        <c:ser>
          <c:idx val="2"/>
          <c:order val="2"/>
          <c:spPr>
            <a:ln w="19050">
              <a:noFill/>
            </a:ln>
          </c:spPr>
          <c:xVal>
            <c:numRef>
              <c:f>'Тяговые и разгонные х-ки'!$E$20:$E$24</c:f>
              <c:numCache>
                <c:formatCode>0.0</c:formatCode>
                <c:ptCount val="5"/>
                <c:pt idx="0">
                  <c:v>29.636247606892152</c:v>
                </c:pt>
                <c:pt idx="1">
                  <c:v>32.929164007657945</c:v>
                </c:pt>
                <c:pt idx="2">
                  <c:v>36.222080408423743</c:v>
                </c:pt>
                <c:pt idx="3">
                  <c:v>39.514996809189533</c:v>
                </c:pt>
                <c:pt idx="4">
                  <c:v>42.807913209955331</c:v>
                </c:pt>
              </c:numCache>
            </c:numRef>
          </c:xVal>
          <c:yVal>
            <c:numRef>
              <c:f>'Тяговые и разгонные х-ки'!$M$20:$M$24</c:f>
              <c:numCache>
                <c:formatCode>0.00</c:formatCode>
                <c:ptCount val="5"/>
                <c:pt idx="0">
                  <c:v>1038.530310531924</c:v>
                </c:pt>
                <c:pt idx="1">
                  <c:v>1483.8766558458958</c:v>
                </c:pt>
                <c:pt idx="2">
                  <c:v>2176.8931869252951</c:v>
                </c:pt>
                <c:pt idx="3">
                  <c:v>3380.5362854773052</c:v>
                </c:pt>
                <c:pt idx="4">
                  <c:v>6776.3414272324799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62C-4C74-802E-CC03020FE9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9684864"/>
        <c:axId val="219686784"/>
      </c:scatterChart>
      <c:valAx>
        <c:axId val="219684864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baseline="0">
                    <a:effectLst/>
                  </a:rPr>
                  <a:t>V</a:t>
                </a:r>
                <a:r>
                  <a:rPr lang="ru-RU" sz="1000" b="1" i="0" baseline="0">
                    <a:effectLst/>
                  </a:rPr>
                  <a:t>, м/с</a:t>
                </a:r>
                <a:endParaRPr lang="ru-RU" sz="1000">
                  <a:effectLst/>
                </a:endParaRPr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219686784"/>
        <c:crosses val="autoZero"/>
        <c:crossBetween val="midCat"/>
      </c:valAx>
      <c:valAx>
        <c:axId val="219686784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S</a:t>
                </a:r>
                <a:r>
                  <a:rPr lang="ru-RU"/>
                  <a:t>р, м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196848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Тяговая характеристика автомобиля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Pk I</c:v>
          </c:tx>
          <c:marker>
            <c:symbol val="none"/>
          </c:marker>
          <c:xVal>
            <c:numRef>
              <c:f>'Тяговые и разгонные х-ки'!$E$4:$E$11</c:f>
              <c:numCache>
                <c:formatCode>0.0</c:formatCode>
                <c:ptCount val="8"/>
                <c:pt idx="0">
                  <c:v>10.624571036376114</c:v>
                </c:pt>
                <c:pt idx="1">
                  <c:v>11.805078929306793</c:v>
                </c:pt>
                <c:pt idx="2">
                  <c:v>12.985586822237474</c:v>
                </c:pt>
                <c:pt idx="3">
                  <c:v>14.166094715168153</c:v>
                </c:pt>
                <c:pt idx="4">
                  <c:v>15.346602608098831</c:v>
                </c:pt>
                <c:pt idx="5">
                  <c:v>16.527110501029512</c:v>
                </c:pt>
                <c:pt idx="6">
                  <c:v>17.707618393960193</c:v>
                </c:pt>
                <c:pt idx="7">
                  <c:v>18.592999313658201</c:v>
                </c:pt>
              </c:numCache>
            </c:numRef>
          </c:xVal>
          <c:yVal>
            <c:numRef>
              <c:f>'Тяговые и разгонные х-ки'!$F$4:$F$11</c:f>
              <c:numCache>
                <c:formatCode>0.0</c:formatCode>
                <c:ptCount val="8"/>
                <c:pt idx="0">
                  <c:v>3474.8299626758544</c:v>
                </c:pt>
                <c:pt idx="1">
                  <c:v>3439.1934895145973</c:v>
                </c:pt>
                <c:pt idx="2">
                  <c:v>3397.7892726224386</c:v>
                </c:pt>
                <c:pt idx="3">
                  <c:v>3351.1647052537355</c:v>
                </c:pt>
                <c:pt idx="4">
                  <c:v>3218.6669475039876</c:v>
                </c:pt>
                <c:pt idx="5">
                  <c:v>3064.0059839713967</c:v>
                </c:pt>
                <c:pt idx="6">
                  <c:v>2894.1878761896623</c:v>
                </c:pt>
                <c:pt idx="7">
                  <c:v>2788.7485566629753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1E9-480E-873E-7034E3CED4CC}"/>
            </c:ext>
          </c:extLst>
        </c:ser>
        <c:ser>
          <c:idx val="1"/>
          <c:order val="1"/>
          <c:tx>
            <c:v>Pk II</c:v>
          </c:tx>
          <c:marker>
            <c:symbol val="none"/>
          </c:marker>
          <c:xVal>
            <c:numRef>
              <c:f>'Тяговые и разгонные х-ки'!$E$12:$E$19</c:f>
              <c:numCache>
                <c:formatCode>0.0</c:formatCode>
                <c:ptCount val="8"/>
                <c:pt idx="0">
                  <c:v>18.576000000000001</c:v>
                </c:pt>
                <c:pt idx="1">
                  <c:v>20.64</c:v>
                </c:pt>
                <c:pt idx="2">
                  <c:v>22.704000000000001</c:v>
                </c:pt>
                <c:pt idx="3">
                  <c:v>24.768000000000001</c:v>
                </c:pt>
                <c:pt idx="4">
                  <c:v>26.832000000000001</c:v>
                </c:pt>
                <c:pt idx="5">
                  <c:v>28.896000000000004</c:v>
                </c:pt>
                <c:pt idx="6">
                  <c:v>30.96</c:v>
                </c:pt>
                <c:pt idx="7">
                  <c:v>32.507999999999996</c:v>
                </c:pt>
              </c:numCache>
            </c:numRef>
          </c:xVal>
          <c:yVal>
            <c:numRef>
              <c:f>'Тяговые и разгонные х-ки'!$F$12:$F$19</c:f>
              <c:numCache>
                <c:formatCode>0.0</c:formatCode>
                <c:ptCount val="8"/>
                <c:pt idx="0">
                  <c:v>1987.43420423007</c:v>
                </c:pt>
                <c:pt idx="1">
                  <c:v>1967.051870003773</c:v>
                </c:pt>
                <c:pt idx="2">
                  <c:v>1943.3706661075489</c:v>
                </c:pt>
                <c:pt idx="3">
                  <c:v>1916.703674933502</c:v>
                </c:pt>
                <c:pt idx="4">
                  <c:v>1840.9213838389312</c:v>
                </c:pt>
                <c:pt idx="5">
                  <c:v>1752.4628139850129</c:v>
                </c:pt>
                <c:pt idx="6">
                  <c:v>1655.3350927646202</c:v>
                </c:pt>
                <c:pt idx="7">
                  <c:v>1595.0289159591484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1E9-480E-873E-7034E3CED4CC}"/>
            </c:ext>
          </c:extLst>
        </c:ser>
        <c:ser>
          <c:idx val="2"/>
          <c:order val="2"/>
          <c:tx>
            <c:v>Pk III</c:v>
          </c:tx>
          <c:marker>
            <c:symbol val="none"/>
          </c:marker>
          <c:xVal>
            <c:numRef>
              <c:f>'Тяговые и разгонные х-ки'!$E$20:$E$27</c:f>
              <c:numCache>
                <c:formatCode>0.0</c:formatCode>
                <c:ptCount val="8"/>
                <c:pt idx="0">
                  <c:v>29.636247606892152</c:v>
                </c:pt>
                <c:pt idx="1">
                  <c:v>32.929164007657945</c:v>
                </c:pt>
                <c:pt idx="2">
                  <c:v>36.222080408423743</c:v>
                </c:pt>
                <c:pt idx="3">
                  <c:v>39.514996809189533</c:v>
                </c:pt>
                <c:pt idx="4">
                  <c:v>42.807913209955331</c:v>
                </c:pt>
                <c:pt idx="5">
                  <c:v>46.100829610721128</c:v>
                </c:pt>
                <c:pt idx="6">
                  <c:v>49.393746011486925</c:v>
                </c:pt>
                <c:pt idx="7">
                  <c:v>51.863433312061261</c:v>
                </c:pt>
              </c:numCache>
            </c:numRef>
          </c:xVal>
          <c:yVal>
            <c:numRef>
              <c:f>'Тяговые и разгонные х-ки'!$F$20:$F$27</c:f>
              <c:numCache>
                <c:formatCode>0.0</c:formatCode>
                <c:ptCount val="8"/>
                <c:pt idx="0">
                  <c:v>1245.7237592114077</c:v>
                </c:pt>
                <c:pt idx="1">
                  <c:v>1232.9481121183649</c:v>
                </c:pt>
                <c:pt idx="2">
                  <c:v>1218.1047335162116</c:v>
                </c:pt>
                <c:pt idx="3">
                  <c:v>1201.3898634483191</c:v>
                </c:pt>
                <c:pt idx="4">
                  <c:v>1153.8895233902422</c:v>
                </c:pt>
                <c:pt idx="5">
                  <c:v>1098.4436918058061</c:v>
                </c:pt>
                <c:pt idx="6">
                  <c:v>1037.5640361448641</c:v>
                </c:pt>
                <c:pt idx="7">
                  <c:v>999.76412452319414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1E9-480E-873E-7034E3CED4CC}"/>
            </c:ext>
          </c:extLst>
        </c:ser>
        <c:ser>
          <c:idx val="3"/>
          <c:order val="3"/>
          <c:tx>
            <c:v>Pψ+Pw</c:v>
          </c:tx>
          <c:marker>
            <c:symbol val="none"/>
          </c:marker>
          <c:xVal>
            <c:numRef>
              <c:f>'Тяговые и разгонные х-ки'!$E$4:$E$27</c:f>
              <c:numCache>
                <c:formatCode>0.0</c:formatCode>
                <c:ptCount val="24"/>
                <c:pt idx="0">
                  <c:v>10.624571036376114</c:v>
                </c:pt>
                <c:pt idx="1">
                  <c:v>11.805078929306793</c:v>
                </c:pt>
                <c:pt idx="2">
                  <c:v>12.985586822237474</c:v>
                </c:pt>
                <c:pt idx="3">
                  <c:v>14.166094715168153</c:v>
                </c:pt>
                <c:pt idx="4">
                  <c:v>15.346602608098831</c:v>
                </c:pt>
                <c:pt idx="5">
                  <c:v>16.527110501029512</c:v>
                </c:pt>
                <c:pt idx="6">
                  <c:v>17.707618393960193</c:v>
                </c:pt>
                <c:pt idx="7">
                  <c:v>18.592999313658201</c:v>
                </c:pt>
                <c:pt idx="8">
                  <c:v>18.576000000000001</c:v>
                </c:pt>
                <c:pt idx="9">
                  <c:v>20.64</c:v>
                </c:pt>
                <c:pt idx="10">
                  <c:v>22.704000000000001</c:v>
                </c:pt>
                <c:pt idx="11">
                  <c:v>24.768000000000001</c:v>
                </c:pt>
                <c:pt idx="12">
                  <c:v>26.832000000000001</c:v>
                </c:pt>
                <c:pt idx="13">
                  <c:v>28.896000000000004</c:v>
                </c:pt>
                <c:pt idx="14">
                  <c:v>30.96</c:v>
                </c:pt>
                <c:pt idx="15">
                  <c:v>32.507999999999996</c:v>
                </c:pt>
                <c:pt idx="16">
                  <c:v>29.636247606892152</c:v>
                </c:pt>
                <c:pt idx="17">
                  <c:v>32.929164007657945</c:v>
                </c:pt>
                <c:pt idx="18">
                  <c:v>36.222080408423743</c:v>
                </c:pt>
                <c:pt idx="19">
                  <c:v>39.514996809189533</c:v>
                </c:pt>
                <c:pt idx="20">
                  <c:v>42.807913209955331</c:v>
                </c:pt>
                <c:pt idx="21">
                  <c:v>46.100829610721128</c:v>
                </c:pt>
                <c:pt idx="22">
                  <c:v>49.393746011486925</c:v>
                </c:pt>
                <c:pt idx="23">
                  <c:v>51.863433312061261</c:v>
                </c:pt>
              </c:numCache>
            </c:numRef>
          </c:xVal>
          <c:yVal>
            <c:numRef>
              <c:f>'Тяговые и разгонные х-ки'!$N$4:$N$27</c:f>
              <c:numCache>
                <c:formatCode>General</c:formatCode>
                <c:ptCount val="24"/>
                <c:pt idx="0">
                  <c:v>320.71485963156118</c:v>
                </c:pt>
                <c:pt idx="1">
                  <c:v>330.36260448340886</c:v>
                </c:pt>
                <c:pt idx="2">
                  <c:v>341.02590142492477</c:v>
                </c:pt>
                <c:pt idx="3">
                  <c:v>352.7047504561088</c:v>
                </c:pt>
                <c:pt idx="4">
                  <c:v>365.399151576961</c:v>
                </c:pt>
                <c:pt idx="5">
                  <c:v>379.10910478748139</c:v>
                </c:pt>
                <c:pt idx="6">
                  <c:v>393.83461008766994</c:v>
                </c:pt>
                <c:pt idx="7">
                  <c:v>405.54519512165609</c:v>
                </c:pt>
                <c:pt idx="8">
                  <c:v>405.31497320016007</c:v>
                </c:pt>
                <c:pt idx="9">
                  <c:v>434.80718913600003</c:v>
                </c:pt>
                <c:pt idx="10">
                  <c:v>467.40384885456007</c:v>
                </c:pt>
                <c:pt idx="11">
                  <c:v>503.10495235584006</c:v>
                </c:pt>
                <c:pt idx="12">
                  <c:v>541.91049963984005</c:v>
                </c:pt>
                <c:pt idx="13">
                  <c:v>583.82049070656012</c:v>
                </c:pt>
                <c:pt idx="14">
                  <c:v>628.83492555600014</c:v>
                </c:pt>
                <c:pt idx="15">
                  <c:v>664.63304292548992</c:v>
                </c:pt>
                <c:pt idx="16">
                  <c:v>599.60774597890691</c:v>
                </c:pt>
                <c:pt idx="17">
                  <c:v>674.67480985050236</c:v>
                </c:pt>
                <c:pt idx="18">
                  <c:v>757.64366991910788</c:v>
                </c:pt>
                <c:pt idx="19">
                  <c:v>848.51432618472336</c:v>
                </c:pt>
                <c:pt idx="20">
                  <c:v>947.28677864734902</c:v>
                </c:pt>
                <c:pt idx="21">
                  <c:v>1053.9610273069848</c:v>
                </c:pt>
                <c:pt idx="22">
                  <c:v>1168.5370721636305</c:v>
                </c:pt>
                <c:pt idx="23">
                  <c:v>1259.6546595604023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1E9-480E-873E-7034E3CED4CC}"/>
            </c:ext>
          </c:extLst>
        </c:ser>
        <c:ser>
          <c:idx val="6"/>
          <c:order val="4"/>
          <c:tx>
            <c:strRef>
              <c:f>'Дин. х-ка автомобиля с ГТК'!$Y$2</c:f>
              <c:strCache>
                <c:ptCount val="1"/>
                <c:pt idx="0">
                  <c:v>Pψ, Н</c:v>
                </c:pt>
              </c:strCache>
            </c:strRef>
          </c:tx>
          <c:marker>
            <c:symbol val="none"/>
          </c:marker>
          <c:xVal>
            <c:numRef>
              <c:f>'Тяговые и разгонные х-ки'!$E$4:$E$27</c:f>
              <c:numCache>
                <c:formatCode>0.0</c:formatCode>
                <c:ptCount val="24"/>
                <c:pt idx="0">
                  <c:v>10.624571036376114</c:v>
                </c:pt>
                <c:pt idx="1">
                  <c:v>11.805078929306793</c:v>
                </c:pt>
                <c:pt idx="2">
                  <c:v>12.985586822237474</c:v>
                </c:pt>
                <c:pt idx="3">
                  <c:v>14.166094715168153</c:v>
                </c:pt>
                <c:pt idx="4">
                  <c:v>15.346602608098831</c:v>
                </c:pt>
                <c:pt idx="5">
                  <c:v>16.527110501029512</c:v>
                </c:pt>
                <c:pt idx="6">
                  <c:v>17.707618393960193</c:v>
                </c:pt>
                <c:pt idx="7">
                  <c:v>18.592999313658201</c:v>
                </c:pt>
                <c:pt idx="8">
                  <c:v>18.576000000000001</c:v>
                </c:pt>
                <c:pt idx="9">
                  <c:v>20.64</c:v>
                </c:pt>
                <c:pt idx="10">
                  <c:v>22.704000000000001</c:v>
                </c:pt>
                <c:pt idx="11">
                  <c:v>24.768000000000001</c:v>
                </c:pt>
                <c:pt idx="12">
                  <c:v>26.832000000000001</c:v>
                </c:pt>
                <c:pt idx="13">
                  <c:v>28.896000000000004</c:v>
                </c:pt>
                <c:pt idx="14">
                  <c:v>30.96</c:v>
                </c:pt>
                <c:pt idx="15">
                  <c:v>32.507999999999996</c:v>
                </c:pt>
                <c:pt idx="16">
                  <c:v>29.636247606892152</c:v>
                </c:pt>
                <c:pt idx="17">
                  <c:v>32.929164007657945</c:v>
                </c:pt>
                <c:pt idx="18">
                  <c:v>36.222080408423743</c:v>
                </c:pt>
                <c:pt idx="19">
                  <c:v>39.514996809189533</c:v>
                </c:pt>
                <c:pt idx="20">
                  <c:v>42.807913209955331</c:v>
                </c:pt>
                <c:pt idx="21">
                  <c:v>46.100829610721128</c:v>
                </c:pt>
                <c:pt idx="22">
                  <c:v>49.393746011486925</c:v>
                </c:pt>
                <c:pt idx="23">
                  <c:v>51.863433312061261</c:v>
                </c:pt>
              </c:numCache>
            </c:numRef>
          </c:xVal>
          <c:yVal>
            <c:numRef>
              <c:f>'Тяговые и разгонные х-ки'!$G$4:$G$27</c:f>
              <c:numCache>
                <c:formatCode>0.0</c:formatCode>
                <c:ptCount val="24"/>
                <c:pt idx="0">
                  <c:v>279.58500000000004</c:v>
                </c:pt>
                <c:pt idx="1">
                  <c:v>279.58500000000004</c:v>
                </c:pt>
                <c:pt idx="2">
                  <c:v>279.58500000000004</c:v>
                </c:pt>
                <c:pt idx="3">
                  <c:v>279.58500000000004</c:v>
                </c:pt>
                <c:pt idx="4">
                  <c:v>279.58500000000004</c:v>
                </c:pt>
                <c:pt idx="5">
                  <c:v>279.58500000000004</c:v>
                </c:pt>
                <c:pt idx="6">
                  <c:v>279.58500000000004</c:v>
                </c:pt>
                <c:pt idx="7">
                  <c:v>279.58500000000004</c:v>
                </c:pt>
                <c:pt idx="8">
                  <c:v>279.58500000000004</c:v>
                </c:pt>
                <c:pt idx="9">
                  <c:v>279.58500000000004</c:v>
                </c:pt>
                <c:pt idx="10">
                  <c:v>279.58500000000004</c:v>
                </c:pt>
                <c:pt idx="11">
                  <c:v>279.58500000000004</c:v>
                </c:pt>
                <c:pt idx="12">
                  <c:v>279.58500000000004</c:v>
                </c:pt>
                <c:pt idx="13">
                  <c:v>279.58500000000004</c:v>
                </c:pt>
                <c:pt idx="14">
                  <c:v>279.58500000000004</c:v>
                </c:pt>
                <c:pt idx="15">
                  <c:v>279.58500000000004</c:v>
                </c:pt>
                <c:pt idx="16">
                  <c:v>279.58500000000004</c:v>
                </c:pt>
                <c:pt idx="17">
                  <c:v>279.58500000000004</c:v>
                </c:pt>
                <c:pt idx="18">
                  <c:v>279.58500000000004</c:v>
                </c:pt>
                <c:pt idx="19">
                  <c:v>279.58500000000004</c:v>
                </c:pt>
                <c:pt idx="20">
                  <c:v>279.58500000000004</c:v>
                </c:pt>
                <c:pt idx="21">
                  <c:v>279.58500000000004</c:v>
                </c:pt>
                <c:pt idx="22">
                  <c:v>279.58500000000004</c:v>
                </c:pt>
                <c:pt idx="23">
                  <c:v>279.58500000000004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61E9-480E-873E-7034E3CED4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559360"/>
        <c:axId val="254849792"/>
      </c:scatterChart>
      <c:valAx>
        <c:axId val="236559360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</a:t>
                </a:r>
                <a:r>
                  <a:rPr lang="ru-RU"/>
                  <a:t>,</a:t>
                </a:r>
                <a:r>
                  <a:rPr lang="ru-RU" baseline="0"/>
                  <a:t> м/с</a:t>
                </a:r>
                <a:endParaRPr lang="ru-RU"/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254849792"/>
        <c:crosses val="autoZero"/>
        <c:crossBetween val="midCat"/>
      </c:valAx>
      <c:valAx>
        <c:axId val="254849792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Pk,</a:t>
                </a:r>
                <a:r>
                  <a:rPr lang="en-US" baseline="0"/>
                  <a:t> H</a:t>
                </a:r>
                <a:endParaRPr lang="ru-RU"/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236559360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25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75000"/>
            <a:lumOff val="2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6" Type="http://schemas.openxmlformats.org/officeDocument/2006/relationships/chart" Target="../charts/chart30.xml"/><Relationship Id="rId5" Type="http://schemas.openxmlformats.org/officeDocument/2006/relationships/chart" Target="../charts/chart29.xml"/><Relationship Id="rId4" Type="http://schemas.openxmlformats.org/officeDocument/2006/relationships/chart" Target="../charts/chart2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35719</xdr:colOff>
      <xdr:row>21</xdr:row>
      <xdr:rowOff>154780</xdr:rowOff>
    </xdr:from>
    <xdr:to>
      <xdr:col>22</xdr:col>
      <xdr:colOff>273844</xdr:colOff>
      <xdr:row>35</xdr:row>
      <xdr:rowOff>214312</xdr:rowOff>
    </xdr:to>
    <xdr:graphicFrame macro="">
      <xdr:nvGraphicFramePr>
        <xdr:cNvPr id="9" name="Диаграмма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23813</xdr:colOff>
      <xdr:row>36</xdr:row>
      <xdr:rowOff>0</xdr:rowOff>
    </xdr:from>
    <xdr:to>
      <xdr:col>22</xdr:col>
      <xdr:colOff>297656</xdr:colOff>
      <xdr:row>51</xdr:row>
      <xdr:rowOff>11904</xdr:rowOff>
    </xdr:to>
    <xdr:graphicFrame macro="">
      <xdr:nvGraphicFramePr>
        <xdr:cNvPr id="10" name="Диаграмма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285751</xdr:colOff>
      <xdr:row>21</xdr:row>
      <xdr:rowOff>119063</xdr:rowOff>
    </xdr:from>
    <xdr:to>
      <xdr:col>27</xdr:col>
      <xdr:colOff>535782</xdr:colOff>
      <xdr:row>36</xdr:row>
      <xdr:rowOff>35717</xdr:rowOff>
    </xdr:to>
    <xdr:graphicFrame macro="">
      <xdr:nvGraphicFramePr>
        <xdr:cNvPr id="11" name="Диаграмма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261937</xdr:colOff>
      <xdr:row>36</xdr:row>
      <xdr:rowOff>0</xdr:rowOff>
    </xdr:from>
    <xdr:to>
      <xdr:col>27</xdr:col>
      <xdr:colOff>535781</xdr:colOff>
      <xdr:row>51</xdr:row>
      <xdr:rowOff>11904</xdr:rowOff>
    </xdr:to>
    <xdr:graphicFrame macro="">
      <xdr:nvGraphicFramePr>
        <xdr:cNvPr id="12" name="Диаграмма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27</xdr:col>
      <xdr:colOff>547688</xdr:colOff>
      <xdr:row>21</xdr:row>
      <xdr:rowOff>142875</xdr:rowOff>
    </xdr:from>
    <xdr:to>
      <xdr:col>33</xdr:col>
      <xdr:colOff>154781</xdr:colOff>
      <xdr:row>36</xdr:row>
      <xdr:rowOff>59529</xdr:rowOff>
    </xdr:to>
    <xdr:graphicFrame macro="">
      <xdr:nvGraphicFramePr>
        <xdr:cNvPr id="14" name="Диаграмма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27</xdr:col>
      <xdr:colOff>523875</xdr:colOff>
      <xdr:row>36</xdr:row>
      <xdr:rowOff>1</xdr:rowOff>
    </xdr:from>
    <xdr:to>
      <xdr:col>33</xdr:col>
      <xdr:colOff>154781</xdr:colOff>
      <xdr:row>51</xdr:row>
      <xdr:rowOff>11905</xdr:rowOff>
    </xdr:to>
    <xdr:graphicFrame macro="">
      <xdr:nvGraphicFramePr>
        <xdr:cNvPr id="13" name="Диаграмма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33</xdr:col>
      <xdr:colOff>142875</xdr:colOff>
      <xdr:row>21</xdr:row>
      <xdr:rowOff>119063</xdr:rowOff>
    </xdr:from>
    <xdr:to>
      <xdr:col>38</xdr:col>
      <xdr:colOff>392905</xdr:colOff>
      <xdr:row>36</xdr:row>
      <xdr:rowOff>35717</xdr:rowOff>
    </xdr:to>
    <xdr:graphicFrame macro="">
      <xdr:nvGraphicFramePr>
        <xdr:cNvPr id="15" name="Диаграмма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33</xdr:col>
      <xdr:colOff>119063</xdr:colOff>
      <xdr:row>36</xdr:row>
      <xdr:rowOff>0</xdr:rowOff>
    </xdr:from>
    <xdr:to>
      <xdr:col>38</xdr:col>
      <xdr:colOff>392906</xdr:colOff>
      <xdr:row>51</xdr:row>
      <xdr:rowOff>11904</xdr:rowOff>
    </xdr:to>
    <xdr:graphicFrame macro="">
      <xdr:nvGraphicFramePr>
        <xdr:cNvPr id="16" name="Диаграмма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38</xdr:col>
      <xdr:colOff>381000</xdr:colOff>
      <xdr:row>21</xdr:row>
      <xdr:rowOff>95250</xdr:rowOff>
    </xdr:from>
    <xdr:to>
      <xdr:col>44</xdr:col>
      <xdr:colOff>11906</xdr:colOff>
      <xdr:row>36</xdr:row>
      <xdr:rowOff>178591</xdr:rowOff>
    </xdr:to>
    <xdr:graphicFrame macro="">
      <xdr:nvGraphicFramePr>
        <xdr:cNvPr id="17" name="Диаграмма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22</xdr:col>
      <xdr:colOff>503461</xdr:colOff>
      <xdr:row>52</xdr:row>
      <xdr:rowOff>156483</xdr:rowOff>
    </xdr:from>
    <xdr:to>
      <xdr:col>38</xdr:col>
      <xdr:colOff>68032</xdr:colOff>
      <xdr:row>99</xdr:row>
      <xdr:rowOff>68036</xdr:rowOff>
    </xdr:to>
    <xdr:graphicFrame macro="">
      <xdr:nvGraphicFramePr>
        <xdr:cNvPr id="18" name="Диаграмма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23</xdr:col>
      <xdr:colOff>98652</xdr:colOff>
      <xdr:row>100</xdr:row>
      <xdr:rowOff>142193</xdr:rowOff>
    </xdr:from>
    <xdr:to>
      <xdr:col>36</xdr:col>
      <xdr:colOff>333375</xdr:colOff>
      <xdr:row>128</xdr:row>
      <xdr:rowOff>95250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12</xdr:row>
      <xdr:rowOff>28575</xdr:rowOff>
    </xdr:from>
    <xdr:to>
      <xdr:col>6</xdr:col>
      <xdr:colOff>489225</xdr:colOff>
      <xdr:row>31</xdr:row>
      <xdr:rowOff>9075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504825</xdr:colOff>
      <xdr:row>12</xdr:row>
      <xdr:rowOff>28575</xdr:rowOff>
    </xdr:from>
    <xdr:to>
      <xdr:col>11</xdr:col>
      <xdr:colOff>336825</xdr:colOff>
      <xdr:row>31</xdr:row>
      <xdr:rowOff>9075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24450</xdr:colOff>
      <xdr:row>23</xdr:row>
      <xdr:rowOff>1500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146049</xdr:colOff>
      <xdr:row>5</xdr:row>
      <xdr:rowOff>187325</xdr:rowOff>
    </xdr:from>
    <xdr:to>
      <xdr:col>9</xdr:col>
      <xdr:colOff>479424</xdr:colOff>
      <xdr:row>22</xdr:row>
      <xdr:rowOff>188825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1</xdr:row>
      <xdr:rowOff>19050</xdr:rowOff>
    </xdr:from>
    <xdr:to>
      <xdr:col>15</xdr:col>
      <xdr:colOff>161025</xdr:colOff>
      <xdr:row>23</xdr:row>
      <xdr:rowOff>148050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9</xdr:row>
      <xdr:rowOff>180974</xdr:rowOff>
    </xdr:from>
    <xdr:to>
      <xdr:col>15</xdr:col>
      <xdr:colOff>390525</xdr:colOff>
      <xdr:row>38</xdr:row>
      <xdr:rowOff>38100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88106</xdr:colOff>
      <xdr:row>5</xdr:row>
      <xdr:rowOff>159543</xdr:rowOff>
    </xdr:from>
    <xdr:to>
      <xdr:col>20</xdr:col>
      <xdr:colOff>126206</xdr:colOff>
      <xdr:row>21</xdr:row>
      <xdr:rowOff>7143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69851</xdr:rowOff>
    </xdr:from>
    <xdr:to>
      <xdr:col>11</xdr:col>
      <xdr:colOff>104776</xdr:colOff>
      <xdr:row>50</xdr:row>
      <xdr:rowOff>31751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342899</xdr:colOff>
      <xdr:row>23</xdr:row>
      <xdr:rowOff>177800</xdr:rowOff>
    </xdr:from>
    <xdr:to>
      <xdr:col>23</xdr:col>
      <xdr:colOff>206375</xdr:colOff>
      <xdr:row>40</xdr:row>
      <xdr:rowOff>69851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454025</xdr:colOff>
      <xdr:row>24</xdr:row>
      <xdr:rowOff>15875</xdr:rowOff>
    </xdr:from>
    <xdr:to>
      <xdr:col>32</xdr:col>
      <xdr:colOff>76200</xdr:colOff>
      <xdr:row>40</xdr:row>
      <xdr:rowOff>85726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absoluteAnchor>
    <xdr:pos x="1" y="9575800"/>
    <xdr:ext cx="8477250" cy="6073734"/>
    <xdr:graphicFrame macro="">
      <xdr:nvGraphicFramePr>
        <xdr:cNvPr id="7" name="Диаграмма 6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14</xdr:col>
      <xdr:colOff>0</xdr:colOff>
      <xdr:row>46</xdr:row>
      <xdr:rowOff>0</xdr:rowOff>
    </xdr:from>
    <xdr:to>
      <xdr:col>26</xdr:col>
      <xdr:colOff>15200</xdr:colOff>
      <xdr:row>68</xdr:row>
      <xdr:rowOff>94075</xdr:rowOff>
    </xdr:to>
    <xdr:graphicFrame macro="">
      <xdr:nvGraphicFramePr>
        <xdr:cNvPr id="6" name="Диаграмма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27</xdr:col>
      <xdr:colOff>0</xdr:colOff>
      <xdr:row>46</xdr:row>
      <xdr:rowOff>0</xdr:rowOff>
    </xdr:from>
    <xdr:to>
      <xdr:col>34</xdr:col>
      <xdr:colOff>451763</xdr:colOff>
      <xdr:row>68</xdr:row>
      <xdr:rowOff>94075</xdr:rowOff>
    </xdr:to>
    <xdr:graphicFrame macro="">
      <xdr:nvGraphicFramePr>
        <xdr:cNvPr id="8" name="Диаграмма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165099</xdr:colOff>
      <xdr:row>28</xdr:row>
      <xdr:rowOff>25398</xdr:rowOff>
    </xdr:from>
    <xdr:to>
      <xdr:col>8</xdr:col>
      <xdr:colOff>408899</xdr:colOff>
      <xdr:row>52</xdr:row>
      <xdr:rowOff>177800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476250</xdr:colOff>
      <xdr:row>28</xdr:row>
      <xdr:rowOff>6350</xdr:rowOff>
    </xdr:from>
    <xdr:to>
      <xdr:col>19</xdr:col>
      <xdr:colOff>148550</xdr:colOff>
      <xdr:row>52</xdr:row>
      <xdr:rowOff>177800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234950</xdr:colOff>
      <xdr:row>28</xdr:row>
      <xdr:rowOff>0</xdr:rowOff>
    </xdr:from>
    <xdr:to>
      <xdr:col>29</xdr:col>
      <xdr:colOff>326350</xdr:colOff>
      <xdr:row>52</xdr:row>
      <xdr:rowOff>177800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56</xdr:row>
      <xdr:rowOff>114298</xdr:rowOff>
    </xdr:from>
    <xdr:to>
      <xdr:col>8</xdr:col>
      <xdr:colOff>250150</xdr:colOff>
      <xdr:row>79</xdr:row>
      <xdr:rowOff>60735</xdr:rowOff>
    </xdr:to>
    <xdr:graphicFrame macro="">
      <xdr:nvGraphicFramePr>
        <xdr:cNvPr id="5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196850</xdr:colOff>
      <xdr:row>56</xdr:row>
      <xdr:rowOff>101598</xdr:rowOff>
    </xdr:from>
    <xdr:to>
      <xdr:col>20</xdr:col>
      <xdr:colOff>440650</xdr:colOff>
      <xdr:row>79</xdr:row>
      <xdr:rowOff>48035</xdr:rowOff>
    </xdr:to>
    <xdr:graphicFrame macro="">
      <xdr:nvGraphicFramePr>
        <xdr:cNvPr id="6" name="Диаграмма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absoluteAnchor>
    <xdr:pos x="11525250" y="10898188"/>
    <xdr:ext cx="8477250" cy="6073734"/>
    <xdr:graphicFrame macro="">
      <xdr:nvGraphicFramePr>
        <xdr:cNvPr id="7" name="Диаграмма 6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0;&#1088;&#1093;&#1080;&#1074;/&#1043;&#1058;&#1050;%20&#1047;&#1080;&#1051;-1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2">
          <cell r="C2">
            <v>0</v>
          </cell>
          <cell r="D2">
            <v>0.1</v>
          </cell>
          <cell r="E2">
            <v>0.2</v>
          </cell>
          <cell r="F2">
            <v>0.3</v>
          </cell>
          <cell r="G2">
            <v>0.4</v>
          </cell>
          <cell r="H2">
            <v>0.5</v>
          </cell>
          <cell r="I2">
            <v>0.6</v>
          </cell>
          <cell r="J2">
            <v>0.7</v>
          </cell>
          <cell r="K2">
            <v>0.8</v>
          </cell>
          <cell r="L2">
            <v>0.83</v>
          </cell>
          <cell r="M2">
            <v>0.88</v>
          </cell>
          <cell r="N2">
            <v>0.89</v>
          </cell>
          <cell r="O2">
            <v>0.9</v>
          </cell>
          <cell r="P2">
            <v>0.95</v>
          </cell>
        </row>
        <row r="3">
          <cell r="B3" t="str">
            <v>ρλн</v>
          </cell>
          <cell r="C3">
            <v>5.0599999999999996</v>
          </cell>
          <cell r="D3">
            <v>4.92</v>
          </cell>
          <cell r="E3">
            <v>4.75</v>
          </cell>
          <cell r="F3">
            <v>4.5</v>
          </cell>
          <cell r="G3">
            <v>4.26</v>
          </cell>
          <cell r="H3">
            <v>3.94</v>
          </cell>
          <cell r="I3">
            <v>3.51</v>
          </cell>
          <cell r="J3">
            <v>3</v>
          </cell>
          <cell r="K3">
            <v>2.4</v>
          </cell>
          <cell r="N3">
            <v>1.45</v>
          </cell>
          <cell r="P3">
            <v>0.88</v>
          </cell>
        </row>
        <row r="4">
          <cell r="B4" t="str">
            <v>Кт</v>
          </cell>
          <cell r="C4">
            <v>2.4500000000000002</v>
          </cell>
          <cell r="D4">
            <v>2.2799999999999998</v>
          </cell>
          <cell r="E4">
            <v>2.1</v>
          </cell>
          <cell r="F4">
            <v>1.9</v>
          </cell>
          <cell r="G4">
            <v>1.71</v>
          </cell>
          <cell r="H4">
            <v>1.52</v>
          </cell>
          <cell r="I4">
            <v>1.37</v>
          </cell>
          <cell r="J4">
            <v>1.23</v>
          </cell>
          <cell r="K4">
            <v>1.1100000000000001</v>
          </cell>
          <cell r="N4">
            <v>1</v>
          </cell>
          <cell r="P4">
            <v>1</v>
          </cell>
        </row>
        <row r="5">
          <cell r="B5" t="str">
            <v>ηг</v>
          </cell>
          <cell r="C5">
            <v>0</v>
          </cell>
          <cell r="D5">
            <v>0.23</v>
          </cell>
          <cell r="E5">
            <v>0.43</v>
          </cell>
          <cell r="F5">
            <v>0.57999999999999996</v>
          </cell>
          <cell r="G5">
            <v>0.68</v>
          </cell>
          <cell r="H5">
            <v>0.76</v>
          </cell>
          <cell r="I5">
            <v>0.82</v>
          </cell>
          <cell r="J5">
            <v>0.86</v>
          </cell>
          <cell r="K5">
            <v>0.88</v>
          </cell>
          <cell r="N5">
            <v>0.89</v>
          </cell>
          <cell r="P5">
            <v>0.95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9"/>
  <sheetViews>
    <sheetView topLeftCell="A68" zoomScale="70" zoomScaleNormal="70" workbookViewId="0">
      <selection activeCell="A85" sqref="A85:J88"/>
    </sheetView>
  </sheetViews>
  <sheetFormatPr defaultRowHeight="14.25" x14ac:dyDescent="0.45"/>
  <cols>
    <col min="1" max="1" width="12.86328125" customWidth="1"/>
    <col min="2" max="2" width="13.86328125" customWidth="1"/>
    <col min="6" max="6" width="10.53125" bestFit="1" customWidth="1"/>
    <col min="8" max="8" width="10.53125" bestFit="1" customWidth="1"/>
    <col min="14" max="14" width="12.46484375" customWidth="1"/>
  </cols>
  <sheetData>
    <row r="1" spans="1:11" ht="14.65" thickBot="1" x14ac:dyDescent="0.5">
      <c r="A1" s="99" t="s">
        <v>0</v>
      </c>
      <c r="B1" s="99" t="s">
        <v>1</v>
      </c>
      <c r="C1" s="99" t="s">
        <v>2</v>
      </c>
    </row>
    <row r="2" spans="1:11" x14ac:dyDescent="0.45">
      <c r="A2" s="102">
        <v>360</v>
      </c>
      <c r="B2" s="102">
        <v>123</v>
      </c>
      <c r="C2" s="102">
        <v>44</v>
      </c>
    </row>
    <row r="3" spans="1:11" x14ac:dyDescent="0.45">
      <c r="A3" s="100">
        <v>400</v>
      </c>
      <c r="B3" s="100">
        <v>124</v>
      </c>
      <c r="C3" s="100">
        <v>49</v>
      </c>
    </row>
    <row r="4" spans="1:11" x14ac:dyDescent="0.45">
      <c r="A4" s="100">
        <v>440</v>
      </c>
      <c r="B4" s="100">
        <v>124</v>
      </c>
      <c r="C4" s="100">
        <v>54</v>
      </c>
    </row>
    <row r="5" spans="1:11" x14ac:dyDescent="0.45">
      <c r="A5" s="100">
        <v>480</v>
      </c>
      <c r="B5" s="100">
        <v>123</v>
      </c>
      <c r="C5" s="100">
        <v>59</v>
      </c>
    </row>
    <row r="6" spans="1:11" x14ac:dyDescent="0.45">
      <c r="A6" s="100">
        <v>520</v>
      </c>
      <c r="B6" s="100">
        <v>120</v>
      </c>
      <c r="C6" s="100">
        <v>62</v>
      </c>
    </row>
    <row r="7" spans="1:11" x14ac:dyDescent="0.45">
      <c r="A7" s="100">
        <v>560</v>
      </c>
      <c r="B7" s="100">
        <v>115</v>
      </c>
      <c r="C7" s="100">
        <v>64</v>
      </c>
    </row>
    <row r="8" spans="1:11" x14ac:dyDescent="0.45">
      <c r="A8" s="100">
        <v>600</v>
      </c>
      <c r="B8" s="100">
        <v>109</v>
      </c>
      <c r="C8" s="100">
        <v>65</v>
      </c>
    </row>
    <row r="9" spans="1:11" ht="14.65" thickBot="1" x14ac:dyDescent="0.5">
      <c r="A9" s="101">
        <v>630</v>
      </c>
      <c r="B9" s="101">
        <v>102</v>
      </c>
      <c r="C9" s="101">
        <v>66</v>
      </c>
    </row>
    <row r="11" spans="1:11" ht="14.65" thickBot="1" x14ac:dyDescent="0.5"/>
    <row r="12" spans="1:11" ht="18.399999999999999" thickBot="1" x14ac:dyDescent="0.5">
      <c r="A12" s="1" t="s">
        <v>3</v>
      </c>
      <c r="B12" s="1" t="s">
        <v>4</v>
      </c>
      <c r="C12" s="1" t="s">
        <v>5</v>
      </c>
      <c r="D12" s="1" t="s">
        <v>6</v>
      </c>
      <c r="E12" s="1" t="s">
        <v>7</v>
      </c>
      <c r="F12" s="1" t="s">
        <v>8</v>
      </c>
      <c r="G12" s="105" t="s">
        <v>9</v>
      </c>
      <c r="H12" s="1" t="s">
        <v>10</v>
      </c>
      <c r="I12" s="105" t="s">
        <v>11</v>
      </c>
      <c r="J12" s="1" t="s">
        <v>12</v>
      </c>
      <c r="K12" s="1" t="s">
        <v>13</v>
      </c>
    </row>
    <row r="13" spans="1:11" ht="15.4" x14ac:dyDescent="0.45">
      <c r="A13" s="16" t="s">
        <v>14</v>
      </c>
      <c r="B13" s="16" t="s">
        <v>15</v>
      </c>
      <c r="C13" s="16" t="s">
        <v>16</v>
      </c>
      <c r="D13" s="16" t="s">
        <v>15</v>
      </c>
      <c r="E13" s="16" t="s">
        <v>15</v>
      </c>
      <c r="F13" s="16" t="s">
        <v>15</v>
      </c>
      <c r="G13" s="16" t="s">
        <v>15</v>
      </c>
      <c r="H13" s="16" t="s">
        <v>15</v>
      </c>
      <c r="I13" s="16" t="s">
        <v>15</v>
      </c>
      <c r="J13" s="16" t="s">
        <v>15</v>
      </c>
      <c r="K13" s="16" t="s">
        <v>17</v>
      </c>
    </row>
    <row r="14" spans="1:11" x14ac:dyDescent="0.45">
      <c r="A14" s="134">
        <f>A2</f>
        <v>360</v>
      </c>
      <c r="B14" s="134">
        <f>C2</f>
        <v>44</v>
      </c>
      <c r="C14" s="103">
        <f>B14/$B$21</f>
        <v>0.66666666666666663</v>
      </c>
      <c r="D14" s="103">
        <f>0.02*$B$21*(C14)^2</f>
        <v>0.58666666666666667</v>
      </c>
      <c r="E14" s="103">
        <v>0.4</v>
      </c>
      <c r="F14" s="103">
        <f>0.01*$B$21*C14</f>
        <v>0.44</v>
      </c>
      <c r="G14" s="103">
        <f>0.08*$B$21*C14^3</f>
        <v>1.5644444444444445</v>
      </c>
      <c r="H14" s="103">
        <f>0.03*$B$21*C14^2</f>
        <v>0.87999999999999989</v>
      </c>
      <c r="I14" s="103">
        <f>D14+E14+F14+G14+H14</f>
        <v>3.8711111111111114</v>
      </c>
      <c r="J14" s="103">
        <f>B14-I14</f>
        <v>40.128888888888888</v>
      </c>
      <c r="K14" s="103">
        <f>1000*J14/A14</f>
        <v>111.46913580246914</v>
      </c>
    </row>
    <row r="15" spans="1:11" x14ac:dyDescent="0.45">
      <c r="A15" s="134">
        <f t="shared" ref="A15:A21" si="0">A3</f>
        <v>400</v>
      </c>
      <c r="B15" s="134">
        <f t="shared" ref="B15:B21" si="1">C3</f>
        <v>49</v>
      </c>
      <c r="C15" s="103">
        <f t="shared" ref="C15:C21" si="2">B15/$B$21</f>
        <v>0.74242424242424243</v>
      </c>
      <c r="D15" s="103">
        <f t="shared" ref="D15:D21" si="3">0.02*$B$21*(C15)^2</f>
        <v>0.72757575757575754</v>
      </c>
      <c r="E15" s="103">
        <v>0.4</v>
      </c>
      <c r="F15" s="103">
        <f t="shared" ref="F15:F21" si="4">0.01*$B$21*C15</f>
        <v>0.49000000000000005</v>
      </c>
      <c r="G15" s="103">
        <f t="shared" ref="G15:G21" si="5">0.08*$B$21*C15^3</f>
        <v>2.1606795224977042</v>
      </c>
      <c r="H15" s="103">
        <f t="shared" ref="H15:H21" si="6">0.03*$B$21*C15^2</f>
        <v>1.0913636363636363</v>
      </c>
      <c r="I15" s="103">
        <f t="shared" ref="I15:I21" si="7">D15+E15+F15+G15+H15</f>
        <v>4.8696189164370978</v>
      </c>
      <c r="J15" s="103">
        <f t="shared" ref="J15:J21" si="8">B15-I15</f>
        <v>44.130381083562902</v>
      </c>
      <c r="K15" s="103">
        <f t="shared" ref="K15:K21" si="9">1000*J15/A15</f>
        <v>110.32595270890727</v>
      </c>
    </row>
    <row r="16" spans="1:11" x14ac:dyDescent="0.45">
      <c r="A16" s="134">
        <f t="shared" si="0"/>
        <v>440</v>
      </c>
      <c r="B16" s="134">
        <f t="shared" si="1"/>
        <v>54</v>
      </c>
      <c r="C16" s="103">
        <f t="shared" si="2"/>
        <v>0.81818181818181823</v>
      </c>
      <c r="D16" s="103">
        <f t="shared" si="3"/>
        <v>0.88363636363636378</v>
      </c>
      <c r="E16" s="103">
        <v>0.4</v>
      </c>
      <c r="F16" s="103">
        <f t="shared" si="4"/>
        <v>0.54</v>
      </c>
      <c r="G16" s="103">
        <f t="shared" si="5"/>
        <v>2.8919008264462818</v>
      </c>
      <c r="H16" s="103">
        <f t="shared" si="6"/>
        <v>1.3254545454545457</v>
      </c>
      <c r="I16" s="103">
        <f t="shared" si="7"/>
        <v>6.040991735537192</v>
      </c>
      <c r="J16" s="103">
        <f t="shared" si="8"/>
        <v>47.95900826446281</v>
      </c>
      <c r="K16" s="103">
        <f t="shared" si="9"/>
        <v>108.9977460555973</v>
      </c>
    </row>
    <row r="17" spans="1:17" x14ac:dyDescent="0.45">
      <c r="A17" s="134">
        <f t="shared" si="0"/>
        <v>480</v>
      </c>
      <c r="B17" s="134">
        <f t="shared" si="1"/>
        <v>59</v>
      </c>
      <c r="C17" s="103">
        <f t="shared" si="2"/>
        <v>0.89393939393939392</v>
      </c>
      <c r="D17" s="103">
        <f t="shared" si="3"/>
        <v>1.0548484848484847</v>
      </c>
      <c r="E17" s="103">
        <v>0.4</v>
      </c>
      <c r="F17" s="103">
        <f t="shared" si="4"/>
        <v>0.59</v>
      </c>
      <c r="G17" s="103">
        <f t="shared" si="5"/>
        <v>3.7718824609733694</v>
      </c>
      <c r="H17" s="103">
        <f t="shared" si="6"/>
        <v>1.5822727272727271</v>
      </c>
      <c r="I17" s="103">
        <f t="shared" si="7"/>
        <v>7.3990036730945814</v>
      </c>
      <c r="J17" s="103">
        <f t="shared" si="8"/>
        <v>51.600996326905417</v>
      </c>
      <c r="K17" s="103">
        <f t="shared" si="9"/>
        <v>107.50207568105294</v>
      </c>
    </row>
    <row r="18" spans="1:17" x14ac:dyDescent="0.45">
      <c r="A18" s="134">
        <f t="shared" si="0"/>
        <v>520</v>
      </c>
      <c r="B18" s="134">
        <f t="shared" si="1"/>
        <v>62</v>
      </c>
      <c r="C18" s="103">
        <f t="shared" si="2"/>
        <v>0.93939393939393945</v>
      </c>
      <c r="D18" s="103">
        <f t="shared" si="3"/>
        <v>1.164848484848485</v>
      </c>
      <c r="E18" s="103">
        <v>0.4</v>
      </c>
      <c r="F18" s="103">
        <f t="shared" si="4"/>
        <v>0.62000000000000011</v>
      </c>
      <c r="G18" s="103">
        <f t="shared" si="5"/>
        <v>4.3770064279155196</v>
      </c>
      <c r="H18" s="103">
        <f t="shared" si="6"/>
        <v>1.7472727272727273</v>
      </c>
      <c r="I18" s="103">
        <f t="shared" si="7"/>
        <v>8.3091276400367331</v>
      </c>
      <c r="J18" s="103">
        <f t="shared" si="8"/>
        <v>53.690872359963265</v>
      </c>
      <c r="K18" s="103">
        <f t="shared" si="9"/>
        <v>103.25167761531397</v>
      </c>
    </row>
    <row r="19" spans="1:17" x14ac:dyDescent="0.45">
      <c r="A19" s="134">
        <f t="shared" si="0"/>
        <v>560</v>
      </c>
      <c r="B19" s="134">
        <f t="shared" si="1"/>
        <v>64</v>
      </c>
      <c r="C19" s="103">
        <f t="shared" si="2"/>
        <v>0.96969696969696972</v>
      </c>
      <c r="D19" s="103">
        <f t="shared" si="3"/>
        <v>1.2412121212121214</v>
      </c>
      <c r="E19" s="103">
        <v>0.4</v>
      </c>
      <c r="F19" s="103">
        <f t="shared" si="4"/>
        <v>0.64</v>
      </c>
      <c r="G19" s="103">
        <f t="shared" si="5"/>
        <v>4.8143985307621682</v>
      </c>
      <c r="H19" s="103">
        <f t="shared" si="6"/>
        <v>1.861818181818182</v>
      </c>
      <c r="I19" s="103">
        <f t="shared" si="7"/>
        <v>8.9574288337924717</v>
      </c>
      <c r="J19" s="103">
        <f t="shared" si="8"/>
        <v>55.04257116620753</v>
      </c>
      <c r="K19" s="103">
        <f t="shared" si="9"/>
        <v>98.290305653942028</v>
      </c>
    </row>
    <row r="20" spans="1:17" x14ac:dyDescent="0.45">
      <c r="A20" s="134">
        <f t="shared" si="0"/>
        <v>600</v>
      </c>
      <c r="B20" s="134">
        <f t="shared" si="1"/>
        <v>65</v>
      </c>
      <c r="C20" s="103">
        <f t="shared" si="2"/>
        <v>0.98484848484848486</v>
      </c>
      <c r="D20" s="103">
        <f t="shared" si="3"/>
        <v>1.2803030303030303</v>
      </c>
      <c r="E20" s="103">
        <v>0.4</v>
      </c>
      <c r="F20" s="103">
        <f t="shared" si="4"/>
        <v>0.65</v>
      </c>
      <c r="G20" s="103">
        <f t="shared" si="5"/>
        <v>5.0436179981634526</v>
      </c>
      <c r="H20" s="103">
        <f t="shared" si="6"/>
        <v>1.9204545454545454</v>
      </c>
      <c r="I20" s="103">
        <f t="shared" si="7"/>
        <v>9.2943755739210285</v>
      </c>
      <c r="J20" s="103">
        <f t="shared" si="8"/>
        <v>55.70562442607897</v>
      </c>
      <c r="K20" s="103">
        <f t="shared" si="9"/>
        <v>92.842707376798273</v>
      </c>
    </row>
    <row r="21" spans="1:17" ht="14.65" thickBot="1" x14ac:dyDescent="0.5">
      <c r="A21" s="134">
        <f t="shared" si="0"/>
        <v>630</v>
      </c>
      <c r="B21" s="134">
        <f t="shared" si="1"/>
        <v>66</v>
      </c>
      <c r="C21" s="104">
        <f t="shared" si="2"/>
        <v>1</v>
      </c>
      <c r="D21" s="104">
        <f t="shared" si="3"/>
        <v>1.32</v>
      </c>
      <c r="E21" s="104">
        <v>0.4</v>
      </c>
      <c r="F21" s="104">
        <f t="shared" si="4"/>
        <v>0.66</v>
      </c>
      <c r="G21" s="104">
        <f t="shared" si="5"/>
        <v>5.28</v>
      </c>
      <c r="H21" s="104">
        <f t="shared" si="6"/>
        <v>1.98</v>
      </c>
      <c r="I21" s="104">
        <f t="shared" si="7"/>
        <v>9.64</v>
      </c>
      <c r="J21" s="104">
        <f t="shared" si="8"/>
        <v>56.36</v>
      </c>
      <c r="K21" s="104">
        <f t="shared" si="9"/>
        <v>89.460317460317455</v>
      </c>
    </row>
    <row r="22" spans="1:17" ht="14.65" thickBot="1" x14ac:dyDescent="0.5"/>
    <row r="23" spans="1:17" ht="16.5" thickBot="1" x14ac:dyDescent="0.5">
      <c r="A23" s="200" t="s">
        <v>18</v>
      </c>
      <c r="B23" s="2" t="s">
        <v>19</v>
      </c>
      <c r="C23" s="209" t="s">
        <v>21</v>
      </c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00" t="s">
        <v>36</v>
      </c>
    </row>
    <row r="24" spans="1:17" ht="14.65" thickBot="1" x14ac:dyDescent="0.5">
      <c r="A24" s="202"/>
      <c r="B24" s="3" t="s">
        <v>20</v>
      </c>
      <c r="C24" s="127">
        <v>0</v>
      </c>
      <c r="D24" s="127">
        <v>0.1</v>
      </c>
      <c r="E24" s="127">
        <v>0.2</v>
      </c>
      <c r="F24" s="127">
        <v>0.3</v>
      </c>
      <c r="G24" s="127">
        <v>0.4</v>
      </c>
      <c r="H24" s="127">
        <v>0.5</v>
      </c>
      <c r="I24" s="127">
        <v>0.6</v>
      </c>
      <c r="J24" s="127">
        <v>0.7</v>
      </c>
      <c r="K24" s="127">
        <v>0.8</v>
      </c>
      <c r="L24" s="127">
        <v>0.84</v>
      </c>
      <c r="M24" s="127">
        <v>0.88</v>
      </c>
      <c r="N24" s="127" t="s">
        <v>22</v>
      </c>
      <c r="O24" s="127">
        <v>0.91</v>
      </c>
      <c r="P24" s="128" t="s">
        <v>23</v>
      </c>
      <c r="Q24" s="202"/>
    </row>
    <row r="25" spans="1:17" s="7" customFormat="1" ht="18" thickBot="1" x14ac:dyDescent="0.5">
      <c r="A25" s="211" t="s">
        <v>26</v>
      </c>
      <c r="B25" s="122" t="s">
        <v>34</v>
      </c>
      <c r="C25" s="109">
        <v>2.95</v>
      </c>
      <c r="D25" s="109">
        <v>2.91</v>
      </c>
      <c r="E25" s="109">
        <v>2.86</v>
      </c>
      <c r="F25" s="109">
        <v>2.78</v>
      </c>
      <c r="G25" s="109">
        <v>2.65</v>
      </c>
      <c r="H25" s="109">
        <v>2.5</v>
      </c>
      <c r="I25" s="109">
        <v>2.2999999999999998</v>
      </c>
      <c r="J25" s="109">
        <v>2.0499999999999998</v>
      </c>
      <c r="K25" s="109">
        <v>1.75</v>
      </c>
      <c r="L25" s="110">
        <v>1.65</v>
      </c>
      <c r="M25" s="110"/>
      <c r="N25" s="109">
        <v>1.2</v>
      </c>
      <c r="O25" s="109"/>
      <c r="P25" s="111">
        <v>0.65</v>
      </c>
      <c r="Q25" s="203">
        <f>C25/L25</f>
        <v>1.7878787878787881</v>
      </c>
    </row>
    <row r="26" spans="1:17" s="8" customFormat="1" ht="16.5" thickBot="1" x14ac:dyDescent="0.5">
      <c r="A26" s="212"/>
      <c r="B26" s="112" t="s">
        <v>25</v>
      </c>
      <c r="C26" s="113">
        <v>2.76</v>
      </c>
      <c r="D26" s="113">
        <v>2.7</v>
      </c>
      <c r="E26" s="113">
        <v>2.4500000000000002</v>
      </c>
      <c r="F26" s="113">
        <v>2.15</v>
      </c>
      <c r="G26" s="113">
        <v>1.87</v>
      </c>
      <c r="H26" s="113">
        <v>1.6</v>
      </c>
      <c r="I26" s="113">
        <v>1.38</v>
      </c>
      <c r="J26" s="113">
        <v>1.21</v>
      </c>
      <c r="K26" s="113">
        <v>1.07</v>
      </c>
      <c r="L26" s="113">
        <v>1</v>
      </c>
      <c r="M26" s="113"/>
      <c r="N26" s="113">
        <v>1</v>
      </c>
      <c r="O26" s="113"/>
      <c r="P26" s="114">
        <v>1</v>
      </c>
      <c r="Q26" s="204"/>
    </row>
    <row r="27" spans="1:17" s="9" customFormat="1" ht="18" thickBot="1" x14ac:dyDescent="0.5">
      <c r="A27" s="213"/>
      <c r="B27" s="123" t="s">
        <v>35</v>
      </c>
      <c r="C27" s="113">
        <v>0</v>
      </c>
      <c r="D27" s="113">
        <v>0.27</v>
      </c>
      <c r="E27" s="113">
        <v>0.49</v>
      </c>
      <c r="F27" s="113">
        <v>0.63</v>
      </c>
      <c r="G27" s="113">
        <v>0.75</v>
      </c>
      <c r="H27" s="113">
        <v>0.83</v>
      </c>
      <c r="I27" s="113">
        <v>0.87</v>
      </c>
      <c r="J27" s="113">
        <v>0.85</v>
      </c>
      <c r="K27" s="113">
        <v>0.86</v>
      </c>
      <c r="L27" s="113">
        <v>0.84</v>
      </c>
      <c r="M27" s="113"/>
      <c r="N27" s="113">
        <v>0.9</v>
      </c>
      <c r="O27" s="113"/>
      <c r="P27" s="114">
        <v>0.95</v>
      </c>
      <c r="Q27" s="205"/>
    </row>
    <row r="28" spans="1:17" s="10" customFormat="1" ht="18" thickBot="1" x14ac:dyDescent="0.5">
      <c r="A28" s="200" t="s">
        <v>24</v>
      </c>
      <c r="B28" s="124" t="s">
        <v>34</v>
      </c>
      <c r="C28" s="115">
        <v>3.2</v>
      </c>
      <c r="D28" s="115">
        <v>3.2</v>
      </c>
      <c r="E28" s="115">
        <v>3.17</v>
      </c>
      <c r="F28" s="115">
        <v>3.08</v>
      </c>
      <c r="G28" s="115">
        <v>3</v>
      </c>
      <c r="H28" s="115">
        <v>2.86</v>
      </c>
      <c r="I28" s="115">
        <v>2.68</v>
      </c>
      <c r="J28" s="115">
        <v>2.4</v>
      </c>
      <c r="K28" s="115">
        <v>2</v>
      </c>
      <c r="L28" s="116"/>
      <c r="M28" s="116">
        <v>1.4</v>
      </c>
      <c r="N28" s="115">
        <v>1.4</v>
      </c>
      <c r="O28" s="115"/>
      <c r="P28" s="117">
        <v>1</v>
      </c>
      <c r="Q28" s="206">
        <f>C28/M28</f>
        <v>2.285714285714286</v>
      </c>
    </row>
    <row r="29" spans="1:17" s="5" customFormat="1" ht="16.5" thickBot="1" x14ac:dyDescent="0.5">
      <c r="A29" s="201"/>
      <c r="B29" s="118" t="s">
        <v>25</v>
      </c>
      <c r="C29" s="119">
        <v>2.7</v>
      </c>
      <c r="D29" s="119">
        <v>2.46</v>
      </c>
      <c r="E29" s="119">
        <v>2.2000000000000002</v>
      </c>
      <c r="F29" s="119">
        <v>2</v>
      </c>
      <c r="G29" s="119">
        <v>1.82</v>
      </c>
      <c r="H29" s="119">
        <v>1.62</v>
      </c>
      <c r="I29" s="119">
        <v>1.44</v>
      </c>
      <c r="J29" s="119">
        <v>1.28</v>
      </c>
      <c r="K29" s="119">
        <v>1.1100000000000001</v>
      </c>
      <c r="L29" s="119"/>
      <c r="M29" s="119">
        <v>1</v>
      </c>
      <c r="N29" s="119">
        <v>1</v>
      </c>
      <c r="O29" s="119"/>
      <c r="P29" s="120">
        <v>1</v>
      </c>
      <c r="Q29" s="207"/>
    </row>
    <row r="30" spans="1:17" s="6" customFormat="1" ht="18" thickBot="1" x14ac:dyDescent="0.5">
      <c r="A30" s="202"/>
      <c r="B30" s="125" t="s">
        <v>35</v>
      </c>
      <c r="C30" s="119">
        <v>0</v>
      </c>
      <c r="D30" s="119">
        <v>0.25</v>
      </c>
      <c r="E30" s="119">
        <v>0.44</v>
      </c>
      <c r="F30" s="119">
        <v>0.59</v>
      </c>
      <c r="G30" s="119">
        <v>0.73</v>
      </c>
      <c r="H30" s="119">
        <v>0.81</v>
      </c>
      <c r="I30" s="119">
        <v>0.87</v>
      </c>
      <c r="J30" s="119">
        <v>0.89</v>
      </c>
      <c r="K30" s="119">
        <v>0.89</v>
      </c>
      <c r="L30" s="119"/>
      <c r="M30" s="119">
        <v>0.88</v>
      </c>
      <c r="N30" s="119">
        <v>0.9</v>
      </c>
      <c r="O30" s="119"/>
      <c r="P30" s="120">
        <v>0.95</v>
      </c>
      <c r="Q30" s="208"/>
    </row>
    <row r="31" spans="1:17" s="8" customFormat="1" ht="18" thickBot="1" x14ac:dyDescent="0.5">
      <c r="A31" s="214" t="s">
        <v>27</v>
      </c>
      <c r="B31" s="122" t="s">
        <v>34</v>
      </c>
      <c r="C31" s="113">
        <v>2.82</v>
      </c>
      <c r="D31" s="113">
        <v>2.72</v>
      </c>
      <c r="E31" s="113">
        <v>2.68</v>
      </c>
      <c r="F31" s="113">
        <v>2.63</v>
      </c>
      <c r="G31" s="113">
        <v>2.5499999999999998</v>
      </c>
      <c r="H31" s="113">
        <v>2.5</v>
      </c>
      <c r="I31" s="113">
        <v>2.46</v>
      </c>
      <c r="J31" s="113">
        <v>2.3199999999999998</v>
      </c>
      <c r="K31" s="113">
        <v>2.15</v>
      </c>
      <c r="L31" s="121"/>
      <c r="M31" s="121"/>
      <c r="N31" s="113">
        <v>1.79</v>
      </c>
      <c r="O31" s="121">
        <v>1.7</v>
      </c>
      <c r="P31" s="114">
        <v>1.34</v>
      </c>
      <c r="Q31" s="203">
        <f>C31/O31</f>
        <v>1.6588235294117646</v>
      </c>
    </row>
    <row r="32" spans="1:17" s="8" customFormat="1" ht="16.5" thickBot="1" x14ac:dyDescent="0.5">
      <c r="A32" s="215"/>
      <c r="B32" s="112" t="s">
        <v>25</v>
      </c>
      <c r="C32" s="113">
        <v>2</v>
      </c>
      <c r="D32" s="113">
        <v>1.96</v>
      </c>
      <c r="E32" s="113">
        <v>1.89</v>
      </c>
      <c r="F32" s="113">
        <v>1.8</v>
      </c>
      <c r="G32" s="113">
        <v>1.7</v>
      </c>
      <c r="H32" s="113">
        <v>1.57</v>
      </c>
      <c r="I32" s="113">
        <v>1.43</v>
      </c>
      <c r="J32" s="113">
        <v>1.3</v>
      </c>
      <c r="K32" s="113">
        <v>1.1599999999999999</v>
      </c>
      <c r="L32" s="113"/>
      <c r="M32" s="113"/>
      <c r="N32" s="113">
        <v>1.02</v>
      </c>
      <c r="O32" s="113">
        <v>1</v>
      </c>
      <c r="P32" s="114">
        <v>1</v>
      </c>
      <c r="Q32" s="204"/>
    </row>
    <row r="33" spans="1:17" s="9" customFormat="1" ht="18" thickBot="1" x14ac:dyDescent="0.5">
      <c r="A33" s="216"/>
      <c r="B33" s="123" t="s">
        <v>35</v>
      </c>
      <c r="C33" s="113">
        <v>0</v>
      </c>
      <c r="D33" s="113">
        <v>0.2</v>
      </c>
      <c r="E33" s="113">
        <v>0.39</v>
      </c>
      <c r="F33" s="113">
        <v>0.54</v>
      </c>
      <c r="G33" s="113">
        <v>0.68</v>
      </c>
      <c r="H33" s="113">
        <v>0.78</v>
      </c>
      <c r="I33" s="113">
        <v>0.86</v>
      </c>
      <c r="J33" s="113">
        <v>0.91</v>
      </c>
      <c r="K33" s="113">
        <v>0.93</v>
      </c>
      <c r="L33" s="113"/>
      <c r="M33" s="113"/>
      <c r="N33" s="113">
        <v>0.92</v>
      </c>
      <c r="O33" s="113">
        <v>0.91</v>
      </c>
      <c r="P33" s="114">
        <v>0.95</v>
      </c>
      <c r="Q33" s="205"/>
    </row>
    <row r="34" spans="1:17" s="4" customFormat="1" ht="18" thickBot="1" x14ac:dyDescent="0.5">
      <c r="A34" s="200" t="s">
        <v>28</v>
      </c>
      <c r="B34" s="124" t="s">
        <v>34</v>
      </c>
      <c r="C34" s="115">
        <v>2.68</v>
      </c>
      <c r="D34" s="115">
        <v>2.68</v>
      </c>
      <c r="E34" s="115">
        <v>2.67</v>
      </c>
      <c r="F34" s="115">
        <v>2.64</v>
      </c>
      <c r="G34" s="115">
        <v>2.6</v>
      </c>
      <c r="H34" s="115">
        <v>2.5</v>
      </c>
      <c r="I34" s="115">
        <v>2.3199999999999998</v>
      </c>
      <c r="J34" s="115">
        <v>2.1</v>
      </c>
      <c r="K34" s="115">
        <v>1.78</v>
      </c>
      <c r="L34" s="116">
        <v>1.28</v>
      </c>
      <c r="M34" s="116"/>
      <c r="N34" s="115">
        <v>1.25</v>
      </c>
      <c r="O34" s="115"/>
      <c r="P34" s="117">
        <v>0.72</v>
      </c>
      <c r="Q34" s="206">
        <f>C34/L34</f>
        <v>2.09375</v>
      </c>
    </row>
    <row r="35" spans="1:17" s="5" customFormat="1" ht="16.5" thickBot="1" x14ac:dyDescent="0.5">
      <c r="A35" s="201"/>
      <c r="B35" s="118" t="s">
        <v>25</v>
      </c>
      <c r="C35" s="119">
        <v>2.75</v>
      </c>
      <c r="D35" s="119">
        <v>2.59</v>
      </c>
      <c r="E35" s="119">
        <v>2.4</v>
      </c>
      <c r="F35" s="119">
        <v>2.14</v>
      </c>
      <c r="G35" s="119">
        <v>1.9</v>
      </c>
      <c r="H35" s="119">
        <v>1.69</v>
      </c>
      <c r="I35" s="119">
        <v>1.46</v>
      </c>
      <c r="J35" s="119">
        <v>1.29</v>
      </c>
      <c r="K35" s="119">
        <v>1.1299999999999999</v>
      </c>
      <c r="L35" s="119">
        <v>1</v>
      </c>
      <c r="M35" s="119"/>
      <c r="N35" s="119">
        <v>1</v>
      </c>
      <c r="O35" s="119"/>
      <c r="P35" s="120">
        <v>1</v>
      </c>
      <c r="Q35" s="207"/>
    </row>
    <row r="36" spans="1:17" s="6" customFormat="1" ht="18" thickBot="1" x14ac:dyDescent="0.5">
      <c r="A36" s="202"/>
      <c r="B36" s="126" t="s">
        <v>35</v>
      </c>
      <c r="C36" s="119">
        <v>0</v>
      </c>
      <c r="D36" s="119">
        <v>0.26</v>
      </c>
      <c r="E36" s="119">
        <v>0.48</v>
      </c>
      <c r="F36" s="119">
        <v>0.64</v>
      </c>
      <c r="G36" s="119">
        <v>0.76</v>
      </c>
      <c r="H36" s="119">
        <v>0.85</v>
      </c>
      <c r="I36" s="119">
        <v>0.88</v>
      </c>
      <c r="J36" s="119">
        <v>0.9</v>
      </c>
      <c r="K36" s="119">
        <v>0.9</v>
      </c>
      <c r="L36" s="119">
        <v>0.86</v>
      </c>
      <c r="M36" s="119"/>
      <c r="N36" s="119">
        <v>0.9</v>
      </c>
      <c r="O36" s="119"/>
      <c r="P36" s="120">
        <v>0.95</v>
      </c>
      <c r="Q36" s="208"/>
    </row>
    <row r="37" spans="1:17" s="7" customFormat="1" ht="18" thickBot="1" x14ac:dyDescent="0.5">
      <c r="A37" s="214" t="s">
        <v>29</v>
      </c>
      <c r="B37" s="122" t="s">
        <v>34</v>
      </c>
      <c r="C37" s="109">
        <v>4.6500000000000004</v>
      </c>
      <c r="D37" s="109">
        <v>4.58</v>
      </c>
      <c r="E37" s="109">
        <v>4.38</v>
      </c>
      <c r="F37" s="109">
        <v>4.2</v>
      </c>
      <c r="G37" s="109">
        <v>4</v>
      </c>
      <c r="H37" s="109">
        <v>3.75</v>
      </c>
      <c r="I37" s="109">
        <v>3.44</v>
      </c>
      <c r="J37" s="109">
        <v>3.04</v>
      </c>
      <c r="K37" s="109">
        <v>2.41</v>
      </c>
      <c r="L37" s="110"/>
      <c r="M37" s="110"/>
      <c r="N37" s="110">
        <v>1.85</v>
      </c>
      <c r="O37" s="109"/>
      <c r="P37" s="111">
        <v>1.25</v>
      </c>
      <c r="Q37" s="203">
        <f>C37/N37</f>
        <v>2.5135135135135136</v>
      </c>
    </row>
    <row r="38" spans="1:17" s="8" customFormat="1" ht="16.5" thickBot="1" x14ac:dyDescent="0.5">
      <c r="A38" s="215"/>
      <c r="B38" s="112" t="s">
        <v>25</v>
      </c>
      <c r="C38" s="113">
        <v>2.04</v>
      </c>
      <c r="D38" s="113">
        <v>2</v>
      </c>
      <c r="E38" s="113">
        <v>1.92</v>
      </c>
      <c r="F38" s="113">
        <v>1.81</v>
      </c>
      <c r="G38" s="113">
        <v>1.7</v>
      </c>
      <c r="H38" s="113">
        <v>1.58</v>
      </c>
      <c r="I38" s="113">
        <v>1.43</v>
      </c>
      <c r="J38" s="113">
        <v>1.27</v>
      </c>
      <c r="K38" s="113">
        <v>1.1100000000000001</v>
      </c>
      <c r="L38" s="113"/>
      <c r="M38" s="113"/>
      <c r="N38" s="113">
        <v>1</v>
      </c>
      <c r="O38" s="113"/>
      <c r="P38" s="114">
        <v>1</v>
      </c>
      <c r="Q38" s="204"/>
    </row>
    <row r="39" spans="1:17" s="9" customFormat="1" ht="18" thickBot="1" x14ac:dyDescent="0.5">
      <c r="A39" s="216"/>
      <c r="B39" s="123" t="s">
        <v>35</v>
      </c>
      <c r="C39" s="113">
        <v>0</v>
      </c>
      <c r="D39" s="113">
        <v>0.2</v>
      </c>
      <c r="E39" s="113">
        <v>0.38</v>
      </c>
      <c r="F39" s="113">
        <v>0.54</v>
      </c>
      <c r="G39" s="113">
        <v>0.68</v>
      </c>
      <c r="H39" s="113">
        <v>0.8</v>
      </c>
      <c r="I39" s="113">
        <v>0.86</v>
      </c>
      <c r="J39" s="113">
        <v>0.89</v>
      </c>
      <c r="K39" s="113">
        <v>0.89</v>
      </c>
      <c r="L39" s="113"/>
      <c r="M39" s="113"/>
      <c r="N39" s="113">
        <v>0.9</v>
      </c>
      <c r="O39" s="113"/>
      <c r="P39" s="114">
        <v>0.95</v>
      </c>
      <c r="Q39" s="205"/>
    </row>
    <row r="40" spans="1:17" s="4" customFormat="1" ht="18" thickBot="1" x14ac:dyDescent="0.5">
      <c r="A40" s="200" t="s">
        <v>30</v>
      </c>
      <c r="B40" s="124" t="s">
        <v>34</v>
      </c>
      <c r="C40" s="115">
        <v>4.9000000000000004</v>
      </c>
      <c r="D40" s="115">
        <v>4.8499999999999996</v>
      </c>
      <c r="E40" s="115">
        <v>4.67</v>
      </c>
      <c r="F40" s="115">
        <v>4.5</v>
      </c>
      <c r="G40" s="115">
        <v>4.3</v>
      </c>
      <c r="H40" s="115">
        <v>4</v>
      </c>
      <c r="I40" s="115">
        <v>3.67</v>
      </c>
      <c r="J40" s="115">
        <v>3.2</v>
      </c>
      <c r="K40" s="115">
        <v>2.5</v>
      </c>
      <c r="L40" s="116"/>
      <c r="M40" s="116">
        <v>1.7</v>
      </c>
      <c r="N40" s="115">
        <v>1.5</v>
      </c>
      <c r="O40" s="115"/>
      <c r="P40" s="117">
        <v>0.8</v>
      </c>
      <c r="Q40" s="206">
        <f>C40/M40</f>
        <v>2.882352941176471</v>
      </c>
    </row>
    <row r="41" spans="1:17" s="5" customFormat="1" ht="16.5" thickBot="1" x14ac:dyDescent="0.5">
      <c r="A41" s="201"/>
      <c r="B41" s="118" t="s">
        <v>25</v>
      </c>
      <c r="C41" s="119">
        <v>2.7</v>
      </c>
      <c r="D41" s="119">
        <v>2.5</v>
      </c>
      <c r="E41" s="119">
        <v>2.2799999999999998</v>
      </c>
      <c r="F41" s="119">
        <v>2.0499999999999998</v>
      </c>
      <c r="G41" s="119">
        <v>1.82</v>
      </c>
      <c r="H41" s="119">
        <v>1.62</v>
      </c>
      <c r="I41" s="119">
        <v>1.48</v>
      </c>
      <c r="J41" s="119">
        <v>1.23</v>
      </c>
      <c r="K41" s="119">
        <v>1.1000000000000001</v>
      </c>
      <c r="L41" s="119"/>
      <c r="M41" s="119">
        <v>1</v>
      </c>
      <c r="N41" s="119">
        <v>1</v>
      </c>
      <c r="O41" s="119"/>
      <c r="P41" s="120">
        <v>1</v>
      </c>
      <c r="Q41" s="207"/>
    </row>
    <row r="42" spans="1:17" s="6" customFormat="1" ht="18" thickBot="1" x14ac:dyDescent="0.5">
      <c r="A42" s="202"/>
      <c r="B42" s="126" t="s">
        <v>35</v>
      </c>
      <c r="C42" s="119">
        <v>0</v>
      </c>
      <c r="D42" s="119">
        <v>0.25</v>
      </c>
      <c r="E42" s="119">
        <v>0.46</v>
      </c>
      <c r="F42" s="119">
        <v>0.6</v>
      </c>
      <c r="G42" s="119">
        <v>0.73</v>
      </c>
      <c r="H42" s="119">
        <v>0.81</v>
      </c>
      <c r="I42" s="119">
        <v>0.86</v>
      </c>
      <c r="J42" s="119">
        <v>0.86</v>
      </c>
      <c r="K42" s="119">
        <v>0.88</v>
      </c>
      <c r="L42" s="119"/>
      <c r="M42" s="119">
        <v>0.87</v>
      </c>
      <c r="N42" s="119">
        <v>0.9</v>
      </c>
      <c r="O42" s="119"/>
      <c r="P42" s="120">
        <v>0.95</v>
      </c>
      <c r="Q42" s="208"/>
    </row>
    <row r="43" spans="1:17" s="7" customFormat="1" ht="18" thickBot="1" x14ac:dyDescent="0.5">
      <c r="A43" s="214" t="s">
        <v>31</v>
      </c>
      <c r="B43" s="122" t="s">
        <v>34</v>
      </c>
      <c r="C43" s="109">
        <v>1.1499999999999999</v>
      </c>
      <c r="D43" s="109">
        <v>1.2</v>
      </c>
      <c r="E43" s="109">
        <v>1.3</v>
      </c>
      <c r="F43" s="109">
        <v>1.34</v>
      </c>
      <c r="G43" s="109">
        <v>1.35</v>
      </c>
      <c r="H43" s="109">
        <v>1.34</v>
      </c>
      <c r="I43" s="109">
        <v>1.3</v>
      </c>
      <c r="J43" s="109">
        <v>1.2</v>
      </c>
      <c r="K43" s="109">
        <v>1</v>
      </c>
      <c r="L43" s="110">
        <v>0.91</v>
      </c>
      <c r="M43" s="110"/>
      <c r="N43" s="109"/>
      <c r="O43" s="109">
        <v>0.75</v>
      </c>
      <c r="P43" s="111">
        <v>0.5</v>
      </c>
      <c r="Q43" s="203">
        <f>C43/L43</f>
        <v>1.2637362637362637</v>
      </c>
    </row>
    <row r="44" spans="1:17" s="8" customFormat="1" ht="16.5" thickBot="1" x14ac:dyDescent="0.5">
      <c r="A44" s="215"/>
      <c r="B44" s="112" t="s">
        <v>25</v>
      </c>
      <c r="C44" s="113">
        <v>3.7</v>
      </c>
      <c r="D44" s="113">
        <v>3.35</v>
      </c>
      <c r="E44" s="113">
        <v>2.9</v>
      </c>
      <c r="F44" s="113">
        <v>2.5</v>
      </c>
      <c r="G44" s="113">
        <v>2.1</v>
      </c>
      <c r="H44" s="113">
        <v>1.7</v>
      </c>
      <c r="I44" s="113">
        <v>1.43</v>
      </c>
      <c r="J44" s="113">
        <v>1.22</v>
      </c>
      <c r="K44" s="113">
        <v>1.04</v>
      </c>
      <c r="L44" s="113">
        <v>1</v>
      </c>
      <c r="M44" s="113"/>
      <c r="N44" s="113"/>
      <c r="O44" s="113">
        <v>1</v>
      </c>
      <c r="P44" s="114">
        <v>1</v>
      </c>
      <c r="Q44" s="204"/>
    </row>
    <row r="45" spans="1:17" s="9" customFormat="1" ht="18" thickBot="1" x14ac:dyDescent="0.5">
      <c r="A45" s="216"/>
      <c r="B45" s="123" t="s">
        <v>35</v>
      </c>
      <c r="C45" s="113">
        <v>0</v>
      </c>
      <c r="D45" s="113">
        <v>0.33</v>
      </c>
      <c r="E45" s="113">
        <v>0.57999999999999996</v>
      </c>
      <c r="F45" s="113">
        <v>0.75</v>
      </c>
      <c r="G45" s="113">
        <v>0.84</v>
      </c>
      <c r="H45" s="113">
        <v>0.85</v>
      </c>
      <c r="I45" s="113">
        <v>0.86</v>
      </c>
      <c r="J45" s="113">
        <v>0.85</v>
      </c>
      <c r="K45" s="113">
        <v>0.83</v>
      </c>
      <c r="L45" s="113">
        <v>0.83</v>
      </c>
      <c r="M45" s="113"/>
      <c r="N45" s="113"/>
      <c r="O45" s="113">
        <v>0.9</v>
      </c>
      <c r="P45" s="114">
        <v>0.95</v>
      </c>
      <c r="Q45" s="205"/>
    </row>
    <row r="46" spans="1:17" s="4" customFormat="1" ht="18" thickBot="1" x14ac:dyDescent="0.5">
      <c r="A46" s="200" t="s">
        <v>32</v>
      </c>
      <c r="B46" s="124" t="s">
        <v>34</v>
      </c>
      <c r="C46" s="115">
        <v>5.0599999999999996</v>
      </c>
      <c r="D46" s="115">
        <v>4.92</v>
      </c>
      <c r="E46" s="115">
        <v>4.75</v>
      </c>
      <c r="F46" s="115">
        <v>4.5</v>
      </c>
      <c r="G46" s="115">
        <v>4.26</v>
      </c>
      <c r="H46" s="115">
        <v>3.94</v>
      </c>
      <c r="I46" s="115">
        <v>3.51</v>
      </c>
      <c r="J46" s="115">
        <v>3</v>
      </c>
      <c r="K46" s="115">
        <v>2.4</v>
      </c>
      <c r="L46" s="116"/>
      <c r="M46" s="116"/>
      <c r="N46" s="116">
        <v>1.45</v>
      </c>
      <c r="O46" s="115"/>
      <c r="P46" s="117">
        <v>0.88</v>
      </c>
      <c r="Q46" s="206">
        <f>C46/N46</f>
        <v>3.489655172413793</v>
      </c>
    </row>
    <row r="47" spans="1:17" s="5" customFormat="1" ht="16.5" thickBot="1" x14ac:dyDescent="0.5">
      <c r="A47" s="201"/>
      <c r="B47" s="118" t="s">
        <v>25</v>
      </c>
      <c r="C47" s="119">
        <v>2.4500000000000002</v>
      </c>
      <c r="D47" s="119">
        <v>2.2799999999999998</v>
      </c>
      <c r="E47" s="119">
        <v>2.1</v>
      </c>
      <c r="F47" s="119">
        <v>1.9</v>
      </c>
      <c r="G47" s="119">
        <v>1.71</v>
      </c>
      <c r="H47" s="119">
        <v>1.52</v>
      </c>
      <c r="I47" s="119">
        <v>1.37</v>
      </c>
      <c r="J47" s="119">
        <v>1.23</v>
      </c>
      <c r="K47" s="119">
        <v>1.1100000000000001</v>
      </c>
      <c r="L47" s="119"/>
      <c r="M47" s="119"/>
      <c r="N47" s="119">
        <v>1</v>
      </c>
      <c r="O47" s="119"/>
      <c r="P47" s="120">
        <v>1</v>
      </c>
      <c r="Q47" s="207"/>
    </row>
    <row r="48" spans="1:17" s="6" customFormat="1" ht="18" customHeight="1" thickBot="1" x14ac:dyDescent="0.5">
      <c r="A48" s="202"/>
      <c r="B48" s="126" t="s">
        <v>35</v>
      </c>
      <c r="C48" s="119">
        <v>0</v>
      </c>
      <c r="D48" s="119">
        <v>0.23</v>
      </c>
      <c r="E48" s="119">
        <v>0.43</v>
      </c>
      <c r="F48" s="119">
        <v>0.57999999999999996</v>
      </c>
      <c r="G48" s="119">
        <v>0.68</v>
      </c>
      <c r="H48" s="119">
        <v>0.76</v>
      </c>
      <c r="I48" s="119">
        <v>0.82</v>
      </c>
      <c r="J48" s="119">
        <v>0.86</v>
      </c>
      <c r="K48" s="119">
        <v>0.88</v>
      </c>
      <c r="L48" s="119"/>
      <c r="M48" s="119"/>
      <c r="N48" s="119">
        <v>0.89</v>
      </c>
      <c r="O48" s="119"/>
      <c r="P48" s="120">
        <v>0.95</v>
      </c>
      <c r="Q48" s="208"/>
    </row>
    <row r="49" spans="1:17" s="7" customFormat="1" ht="18" thickBot="1" x14ac:dyDescent="0.5">
      <c r="A49" s="214" t="s">
        <v>33</v>
      </c>
      <c r="B49" s="122" t="s">
        <v>34</v>
      </c>
      <c r="C49" s="109">
        <v>4.62</v>
      </c>
      <c r="D49" s="109">
        <v>4.5199999999999996</v>
      </c>
      <c r="E49" s="109">
        <v>4.3499999999999996</v>
      </c>
      <c r="F49" s="109">
        <v>4.13</v>
      </c>
      <c r="G49" s="109">
        <v>3.95</v>
      </c>
      <c r="H49" s="109">
        <v>3.72</v>
      </c>
      <c r="I49" s="109">
        <v>3.39</v>
      </c>
      <c r="J49" s="109">
        <v>2.93</v>
      </c>
      <c r="K49" s="109">
        <v>2.4300000000000002</v>
      </c>
      <c r="L49" s="110"/>
      <c r="M49" s="110">
        <v>1.61</v>
      </c>
      <c r="N49" s="109"/>
      <c r="O49" s="109"/>
      <c r="P49" s="111">
        <v>1.1299999999999999</v>
      </c>
      <c r="Q49" s="203">
        <f>C49/M49</f>
        <v>2.8695652173913042</v>
      </c>
    </row>
    <row r="50" spans="1:17" s="8" customFormat="1" ht="16.5" thickBot="1" x14ac:dyDescent="0.5">
      <c r="A50" s="215"/>
      <c r="B50" s="112" t="s">
        <v>25</v>
      </c>
      <c r="C50" s="113">
        <v>2.1</v>
      </c>
      <c r="D50" s="113">
        <v>2</v>
      </c>
      <c r="E50" s="113">
        <v>1.9</v>
      </c>
      <c r="F50" s="113">
        <v>1.77</v>
      </c>
      <c r="G50" s="113">
        <v>1.65</v>
      </c>
      <c r="H50" s="113">
        <v>1.52</v>
      </c>
      <c r="I50" s="113">
        <v>1.37</v>
      </c>
      <c r="J50" s="113">
        <v>1.24</v>
      </c>
      <c r="K50" s="113">
        <v>1.04</v>
      </c>
      <c r="L50" s="113"/>
      <c r="M50" s="113">
        <v>1</v>
      </c>
      <c r="N50" s="113"/>
      <c r="O50" s="113"/>
      <c r="P50" s="114">
        <v>1</v>
      </c>
      <c r="Q50" s="204"/>
    </row>
    <row r="51" spans="1:17" s="9" customFormat="1" ht="18" thickBot="1" x14ac:dyDescent="0.5">
      <c r="A51" s="216"/>
      <c r="B51" s="123" t="s">
        <v>35</v>
      </c>
      <c r="C51" s="113">
        <v>0</v>
      </c>
      <c r="D51" s="113">
        <v>0.2</v>
      </c>
      <c r="E51" s="113">
        <v>0.38</v>
      </c>
      <c r="F51" s="113">
        <v>0.54</v>
      </c>
      <c r="G51" s="113">
        <v>0.66</v>
      </c>
      <c r="H51" s="113">
        <v>0.76</v>
      </c>
      <c r="I51" s="113">
        <v>0.84</v>
      </c>
      <c r="J51" s="113">
        <v>0.88</v>
      </c>
      <c r="K51" s="113">
        <v>0.89</v>
      </c>
      <c r="L51" s="113"/>
      <c r="M51" s="113">
        <v>0.88</v>
      </c>
      <c r="N51" s="113"/>
      <c r="O51" s="113"/>
      <c r="P51" s="114">
        <v>0.95</v>
      </c>
      <c r="Q51" s="205"/>
    </row>
    <row r="54" spans="1:17" x14ac:dyDescent="0.45">
      <c r="A54" s="11" t="s">
        <v>57</v>
      </c>
      <c r="B54" s="13">
        <v>0.17599999999999999</v>
      </c>
      <c r="C54" t="s">
        <v>58</v>
      </c>
    </row>
    <row r="55" spans="1:17" ht="14.65" thickBot="1" x14ac:dyDescent="0.5"/>
    <row r="56" spans="1:17" ht="15.4" customHeight="1" x14ac:dyDescent="0.45">
      <c r="A56" s="14" t="s">
        <v>38</v>
      </c>
      <c r="B56" s="14" t="s">
        <v>40</v>
      </c>
      <c r="C56" s="14" t="s">
        <v>41</v>
      </c>
      <c r="D56" s="14" t="s">
        <v>43</v>
      </c>
      <c r="E56" s="14" t="s">
        <v>44</v>
      </c>
      <c r="F56" s="14" t="s">
        <v>46</v>
      </c>
      <c r="G56" s="14" t="s">
        <v>47</v>
      </c>
      <c r="H56" s="14" t="s">
        <v>48</v>
      </c>
      <c r="I56" s="14" t="s">
        <v>49</v>
      </c>
      <c r="J56" s="14" t="s">
        <v>50</v>
      </c>
      <c r="K56" s="14" t="s">
        <v>51</v>
      </c>
      <c r="L56" s="14" t="s">
        <v>52</v>
      </c>
      <c r="M56" s="14" t="s">
        <v>54</v>
      </c>
      <c r="N56" s="14" t="s">
        <v>55</v>
      </c>
      <c r="O56" s="14" t="s">
        <v>56</v>
      </c>
      <c r="P56" s="222" t="s">
        <v>37</v>
      </c>
    </row>
    <row r="57" spans="1:17" ht="14.65" thickBot="1" x14ac:dyDescent="0.5">
      <c r="A57" s="15" t="s">
        <v>39</v>
      </c>
      <c r="B57" s="15" t="s">
        <v>17</v>
      </c>
      <c r="C57" s="15" t="s">
        <v>42</v>
      </c>
      <c r="D57" s="15" t="s">
        <v>17</v>
      </c>
      <c r="E57" s="15" t="s">
        <v>45</v>
      </c>
      <c r="F57" s="15" t="s">
        <v>17</v>
      </c>
      <c r="G57" s="15" t="s">
        <v>45</v>
      </c>
      <c r="H57" s="15" t="s">
        <v>17</v>
      </c>
      <c r="I57" s="15" t="s">
        <v>45</v>
      </c>
      <c r="J57" s="15" t="s">
        <v>17</v>
      </c>
      <c r="K57" s="15" t="s">
        <v>45</v>
      </c>
      <c r="L57" s="15" t="s">
        <v>53</v>
      </c>
      <c r="M57" s="15" t="s">
        <v>45</v>
      </c>
      <c r="N57" s="15" t="s">
        <v>17</v>
      </c>
      <c r="O57" s="15" t="s">
        <v>45</v>
      </c>
      <c r="P57" s="223"/>
    </row>
    <row r="58" spans="1:17" ht="14.65" thickBot="1" x14ac:dyDescent="0.5">
      <c r="A58" s="129">
        <f>A14</f>
        <v>360</v>
      </c>
      <c r="B58" s="130">
        <f>C58*($B$54^5)*(A58^2)</f>
        <v>110.74365615085974</v>
      </c>
      <c r="C58" s="93">
        <f>$C$46</f>
        <v>5.0599999999999996</v>
      </c>
      <c r="D58" s="130">
        <f>E58*($B$54^5)*(A58^2)</f>
        <v>98.487441240883172</v>
      </c>
      <c r="E58" s="94">
        <f>$F$46</f>
        <v>4.5</v>
      </c>
      <c r="F58" s="12">
        <f>G58*($B$54^5)*(A58^2)</f>
        <v>93.234777708036063</v>
      </c>
      <c r="G58" s="94">
        <f>$G$46</f>
        <v>4.26</v>
      </c>
      <c r="H58" s="12">
        <f>I58*($B$54^5)*(A58^2)</f>
        <v>86.231226330906594</v>
      </c>
      <c r="I58" s="94">
        <f>$H$46</f>
        <v>3.94</v>
      </c>
      <c r="J58" s="130">
        <f>K58*($B$54^5)*(A58^2)</f>
        <v>65.658294160588781</v>
      </c>
      <c r="K58" s="94">
        <f>$J$46</f>
        <v>3</v>
      </c>
      <c r="L58" s="130">
        <f>M58*($B$54^5)*(A58^2)</f>
        <v>31.734842177617914</v>
      </c>
      <c r="M58" s="94">
        <f>$N$46</f>
        <v>1.45</v>
      </c>
      <c r="N58" s="130">
        <f>O58*($B$54^5)*(A58^2)</f>
        <v>19.259766287106046</v>
      </c>
      <c r="O58" s="94">
        <f>$P$46</f>
        <v>0.88</v>
      </c>
      <c r="P58" s="130">
        <f>K14</f>
        <v>111.46913580246914</v>
      </c>
    </row>
    <row r="59" spans="1:17" ht="14.65" thickBot="1" x14ac:dyDescent="0.5">
      <c r="A59" s="129">
        <f t="shared" ref="A59:A65" si="10">A15</f>
        <v>400</v>
      </c>
      <c r="B59" s="130">
        <f t="shared" ref="B59:B65" si="11">C59*($B$54^5)*(A59^2)</f>
        <v>136.72056314920957</v>
      </c>
      <c r="C59" s="93">
        <f t="shared" ref="C59:C65" si="12">$C$46</f>
        <v>5.0599999999999996</v>
      </c>
      <c r="D59" s="130">
        <f t="shared" ref="D59:D65" si="13">E59*($B$54^5)*(A59^2)</f>
        <v>121.58943363071997</v>
      </c>
      <c r="E59" s="94">
        <f t="shared" ref="E59:E65" si="14">$F$46</f>
        <v>4.5</v>
      </c>
      <c r="F59" s="12">
        <f t="shared" ref="F59:F65" si="15">G59*($B$54^5)*(A59^2)</f>
        <v>115.10466383708156</v>
      </c>
      <c r="G59" s="94">
        <f t="shared" ref="G59:G65" si="16">$G$46</f>
        <v>4.26</v>
      </c>
      <c r="H59" s="12">
        <f t="shared" ref="H59:H65" si="17">I59*($B$54^5)*(A59^2)</f>
        <v>106.45830411223037</v>
      </c>
      <c r="I59" s="94">
        <f t="shared" ref="I59:I65" si="18">$H$46</f>
        <v>3.94</v>
      </c>
      <c r="J59" s="130">
        <f t="shared" ref="J59:J65" si="19">K59*($B$54^5)*(A59^2)</f>
        <v>81.059622420479968</v>
      </c>
      <c r="K59" s="94">
        <f t="shared" ref="K59:K65" si="20">$J$46</f>
        <v>3</v>
      </c>
      <c r="L59" s="130">
        <f t="shared" ref="L59:L65" si="21">M59*($B$54^5)*(A59^2)</f>
        <v>39.17881750323199</v>
      </c>
      <c r="M59" s="94">
        <f t="shared" ref="M59:M65" si="22">$N$46</f>
        <v>1.45</v>
      </c>
      <c r="N59" s="130">
        <f t="shared" ref="N59:N65" si="23">O59*($B$54^5)*(A59^2)</f>
        <v>23.777489243340796</v>
      </c>
      <c r="O59" s="94">
        <f t="shared" ref="O59:O65" si="24">$P$46</f>
        <v>0.88</v>
      </c>
      <c r="P59" s="130">
        <f t="shared" ref="P59:P65" si="25">K15</f>
        <v>110.32595270890727</v>
      </c>
    </row>
    <row r="60" spans="1:17" ht="14.65" thickBot="1" x14ac:dyDescent="0.5">
      <c r="A60" s="129">
        <f t="shared" si="10"/>
        <v>440</v>
      </c>
      <c r="B60" s="130">
        <f>C60*($B$54^5)*(A60^2)</f>
        <v>165.43188141054355</v>
      </c>
      <c r="C60" s="93">
        <f t="shared" si="12"/>
        <v>5.0599999999999996</v>
      </c>
      <c r="D60" s="130">
        <f t="shared" si="13"/>
        <v>147.12321469317115</v>
      </c>
      <c r="E60" s="94">
        <f t="shared" si="14"/>
        <v>4.5</v>
      </c>
      <c r="F60" s="12">
        <f t="shared" si="15"/>
        <v>139.27664324286869</v>
      </c>
      <c r="G60" s="94">
        <f t="shared" si="16"/>
        <v>4.26</v>
      </c>
      <c r="H60" s="12">
        <f t="shared" si="17"/>
        <v>128.81454797579875</v>
      </c>
      <c r="I60" s="94">
        <f t="shared" si="18"/>
        <v>3.94</v>
      </c>
      <c r="J60" s="130">
        <f t="shared" si="19"/>
        <v>98.082143128780771</v>
      </c>
      <c r="K60" s="94">
        <f t="shared" si="20"/>
        <v>3</v>
      </c>
      <c r="L60" s="130">
        <f t="shared" si="21"/>
        <v>47.406369178910708</v>
      </c>
      <c r="M60" s="94">
        <f t="shared" si="22"/>
        <v>1.45</v>
      </c>
      <c r="N60" s="130">
        <f t="shared" si="23"/>
        <v>28.770761984442363</v>
      </c>
      <c r="O60" s="94">
        <f t="shared" si="24"/>
        <v>0.88</v>
      </c>
      <c r="P60" s="130">
        <f t="shared" si="25"/>
        <v>108.9977460555973</v>
      </c>
    </row>
    <row r="61" spans="1:17" ht="14.65" thickBot="1" x14ac:dyDescent="0.5">
      <c r="A61" s="129">
        <f t="shared" si="10"/>
        <v>480</v>
      </c>
      <c r="B61" s="130">
        <f t="shared" si="11"/>
        <v>196.87761093486176</v>
      </c>
      <c r="C61" s="93">
        <f t="shared" si="12"/>
        <v>5.0599999999999996</v>
      </c>
      <c r="D61" s="130">
        <f t="shared" si="13"/>
        <v>175.08878442823675</v>
      </c>
      <c r="E61" s="94">
        <f t="shared" si="14"/>
        <v>4.5</v>
      </c>
      <c r="F61" s="12">
        <f t="shared" si="15"/>
        <v>165.75071592539746</v>
      </c>
      <c r="G61" s="94">
        <f t="shared" si="16"/>
        <v>4.26</v>
      </c>
      <c r="H61" s="12">
        <f t="shared" si="17"/>
        <v>153.29995792161174</v>
      </c>
      <c r="I61" s="94">
        <f t="shared" si="18"/>
        <v>3.94</v>
      </c>
      <c r="J61" s="130">
        <f t="shared" si="19"/>
        <v>116.72585628549116</v>
      </c>
      <c r="K61" s="94">
        <f t="shared" si="20"/>
        <v>3</v>
      </c>
      <c r="L61" s="130">
        <f t="shared" si="21"/>
        <v>56.417497204654069</v>
      </c>
      <c r="M61" s="94">
        <f t="shared" si="22"/>
        <v>1.45</v>
      </c>
      <c r="N61" s="130">
        <f t="shared" si="23"/>
        <v>34.239584510410744</v>
      </c>
      <c r="O61" s="94">
        <f t="shared" si="24"/>
        <v>0.88</v>
      </c>
      <c r="P61" s="130">
        <f t="shared" si="25"/>
        <v>107.50207568105294</v>
      </c>
    </row>
    <row r="62" spans="1:17" ht="14.65" thickBot="1" x14ac:dyDescent="0.5">
      <c r="A62" s="129">
        <f t="shared" si="10"/>
        <v>520</v>
      </c>
      <c r="B62" s="130">
        <f t="shared" si="11"/>
        <v>231.05775172216414</v>
      </c>
      <c r="C62" s="93">
        <f t="shared" si="12"/>
        <v>5.0599999999999996</v>
      </c>
      <c r="D62" s="130">
        <f t="shared" si="13"/>
        <v>205.48614283591672</v>
      </c>
      <c r="E62" s="94">
        <f t="shared" si="14"/>
        <v>4.5</v>
      </c>
      <c r="F62" s="12">
        <f t="shared" si="15"/>
        <v>194.52688188466783</v>
      </c>
      <c r="G62" s="94">
        <f t="shared" si="16"/>
        <v>4.26</v>
      </c>
      <c r="H62" s="12">
        <f t="shared" si="17"/>
        <v>179.91453394966933</v>
      </c>
      <c r="I62" s="94">
        <f t="shared" si="18"/>
        <v>3.94</v>
      </c>
      <c r="J62" s="130">
        <f t="shared" si="19"/>
        <v>136.99076189061117</v>
      </c>
      <c r="K62" s="94">
        <f t="shared" si="20"/>
        <v>3</v>
      </c>
      <c r="L62" s="130">
        <f t="shared" si="21"/>
        <v>66.212201580462064</v>
      </c>
      <c r="M62" s="94">
        <f t="shared" si="22"/>
        <v>1.45</v>
      </c>
      <c r="N62" s="130">
        <f t="shared" si="23"/>
        <v>40.183956821245943</v>
      </c>
      <c r="O62" s="94">
        <f t="shared" si="24"/>
        <v>0.88</v>
      </c>
      <c r="P62" s="130">
        <f t="shared" si="25"/>
        <v>103.25167761531397</v>
      </c>
    </row>
    <row r="63" spans="1:17" ht="14.65" thickBot="1" x14ac:dyDescent="0.5">
      <c r="A63" s="129">
        <f t="shared" si="10"/>
        <v>560</v>
      </c>
      <c r="B63" s="130">
        <f t="shared" si="11"/>
        <v>267.97230377245074</v>
      </c>
      <c r="C63" s="93">
        <f t="shared" si="12"/>
        <v>5.0599999999999996</v>
      </c>
      <c r="D63" s="130">
        <f t="shared" si="13"/>
        <v>238.31528991621113</v>
      </c>
      <c r="E63" s="94">
        <f t="shared" si="14"/>
        <v>4.5</v>
      </c>
      <c r="F63" s="12">
        <f t="shared" si="15"/>
        <v>225.60514112067986</v>
      </c>
      <c r="G63" s="94">
        <f t="shared" si="16"/>
        <v>4.26</v>
      </c>
      <c r="H63" s="12">
        <f t="shared" si="17"/>
        <v>208.65827605997151</v>
      </c>
      <c r="I63" s="94">
        <f t="shared" si="18"/>
        <v>3.94</v>
      </c>
      <c r="J63" s="130">
        <f t="shared" si="19"/>
        <v>158.87685994414076</v>
      </c>
      <c r="K63" s="94">
        <f t="shared" si="20"/>
        <v>3</v>
      </c>
      <c r="L63" s="130">
        <f t="shared" si="21"/>
        <v>76.79048230633471</v>
      </c>
      <c r="M63" s="94">
        <f t="shared" si="22"/>
        <v>1.45</v>
      </c>
      <c r="N63" s="130">
        <f t="shared" si="23"/>
        <v>46.603878916947963</v>
      </c>
      <c r="O63" s="94">
        <f t="shared" si="24"/>
        <v>0.88</v>
      </c>
      <c r="P63" s="130">
        <f t="shared" si="25"/>
        <v>98.290305653942028</v>
      </c>
    </row>
    <row r="64" spans="1:17" ht="14.65" thickBot="1" x14ac:dyDescent="0.5">
      <c r="A64" s="129">
        <f t="shared" si="10"/>
        <v>600</v>
      </c>
      <c r="B64" s="130">
        <f t="shared" si="11"/>
        <v>307.62126708572151</v>
      </c>
      <c r="C64" s="93">
        <f t="shared" si="12"/>
        <v>5.0599999999999996</v>
      </c>
      <c r="D64" s="130">
        <f t="shared" si="13"/>
        <v>273.57622566911994</v>
      </c>
      <c r="E64" s="94">
        <f t="shared" si="14"/>
        <v>4.5</v>
      </c>
      <c r="F64" s="12">
        <f t="shared" si="15"/>
        <v>258.98549363343352</v>
      </c>
      <c r="G64" s="94">
        <f t="shared" si="16"/>
        <v>4.26</v>
      </c>
      <c r="H64" s="12">
        <f t="shared" si="17"/>
        <v>239.53118425251833</v>
      </c>
      <c r="I64" s="94">
        <f t="shared" si="18"/>
        <v>3.94</v>
      </c>
      <c r="J64" s="130">
        <f t="shared" si="19"/>
        <v>182.38415044607996</v>
      </c>
      <c r="K64" s="94">
        <f t="shared" si="20"/>
        <v>3</v>
      </c>
      <c r="L64" s="130">
        <f t="shared" si="21"/>
        <v>88.152339382271975</v>
      </c>
      <c r="M64" s="94">
        <f t="shared" si="22"/>
        <v>1.45</v>
      </c>
      <c r="N64" s="130">
        <f t="shared" si="23"/>
        <v>53.49935079751679</v>
      </c>
      <c r="O64" s="94">
        <f t="shared" si="24"/>
        <v>0.88</v>
      </c>
      <c r="P64" s="130">
        <f t="shared" si="25"/>
        <v>92.842707376798273</v>
      </c>
    </row>
    <row r="65" spans="1:16" ht="14.65" thickBot="1" x14ac:dyDescent="0.5">
      <c r="A65" s="131">
        <f t="shared" si="10"/>
        <v>630</v>
      </c>
      <c r="B65" s="132">
        <f t="shared" si="11"/>
        <v>339.15244696200796</v>
      </c>
      <c r="C65" s="106">
        <f t="shared" si="12"/>
        <v>5.0599999999999996</v>
      </c>
      <c r="D65" s="132">
        <f t="shared" si="13"/>
        <v>301.61778880020472</v>
      </c>
      <c r="E65" s="107">
        <f t="shared" si="14"/>
        <v>4.5</v>
      </c>
      <c r="F65" s="108">
        <f t="shared" si="15"/>
        <v>285.53150673086043</v>
      </c>
      <c r="G65" s="107">
        <f t="shared" si="16"/>
        <v>4.26</v>
      </c>
      <c r="H65" s="108">
        <f t="shared" si="17"/>
        <v>264.08313063840143</v>
      </c>
      <c r="I65" s="107">
        <f t="shared" si="18"/>
        <v>3.94</v>
      </c>
      <c r="J65" s="132">
        <f t="shared" si="19"/>
        <v>201.07852586680315</v>
      </c>
      <c r="K65" s="107">
        <f t="shared" si="20"/>
        <v>3</v>
      </c>
      <c r="L65" s="132">
        <f t="shared" si="21"/>
        <v>97.18795416895486</v>
      </c>
      <c r="M65" s="107">
        <f t="shared" si="22"/>
        <v>1.45</v>
      </c>
      <c r="N65" s="132">
        <f t="shared" si="23"/>
        <v>58.983034254262265</v>
      </c>
      <c r="O65" s="107">
        <f t="shared" si="24"/>
        <v>0.88</v>
      </c>
      <c r="P65" s="132">
        <f t="shared" si="25"/>
        <v>89.460317460317455</v>
      </c>
    </row>
    <row r="67" spans="1:16" ht="14.65" thickBot="1" x14ac:dyDescent="0.5"/>
    <row r="68" spans="1:16" ht="14.65" thickBot="1" x14ac:dyDescent="0.5">
      <c r="A68" s="217" t="s">
        <v>59</v>
      </c>
      <c r="B68" s="219" t="s">
        <v>60</v>
      </c>
      <c r="C68" s="220"/>
      <c r="D68" s="220"/>
      <c r="E68" s="220"/>
      <c r="F68" s="220"/>
      <c r="G68" s="220"/>
      <c r="H68" s="221"/>
    </row>
    <row r="69" spans="1:16" ht="14.65" thickBot="1" x14ac:dyDescent="0.5">
      <c r="A69" s="218"/>
      <c r="B69" s="20">
        <v>0</v>
      </c>
      <c r="C69" s="20">
        <v>0.3</v>
      </c>
      <c r="D69" s="20">
        <v>0.4</v>
      </c>
      <c r="E69" s="20">
        <v>0.5</v>
      </c>
      <c r="F69" s="20">
        <v>0.7</v>
      </c>
      <c r="G69" s="20">
        <v>0.9</v>
      </c>
      <c r="H69" s="20">
        <v>0.95</v>
      </c>
    </row>
    <row r="70" spans="1:16" ht="16.149999999999999" thickBot="1" x14ac:dyDescent="0.5">
      <c r="A70" s="17" t="s">
        <v>61</v>
      </c>
      <c r="B70" s="18">
        <f>C58</f>
        <v>5.0599999999999996</v>
      </c>
      <c r="C70" s="18">
        <f>E58</f>
        <v>4.5</v>
      </c>
      <c r="D70" s="18">
        <f>G58</f>
        <v>4.26</v>
      </c>
      <c r="E70" s="18">
        <f>I58</f>
        <v>3.94</v>
      </c>
      <c r="F70" s="18">
        <f>K58</f>
        <v>3</v>
      </c>
      <c r="G70" s="18">
        <f>M58</f>
        <v>1.45</v>
      </c>
      <c r="H70" s="18">
        <f>O58</f>
        <v>0.88</v>
      </c>
    </row>
    <row r="71" spans="1:16" ht="15" thickBot="1" x14ac:dyDescent="0.5">
      <c r="A71" s="17" t="s">
        <v>62</v>
      </c>
      <c r="B71" s="22">
        <v>111.4</v>
      </c>
      <c r="C71" s="22">
        <v>110.91</v>
      </c>
      <c r="D71" s="22">
        <v>110.43</v>
      </c>
      <c r="E71" s="22">
        <v>109.95</v>
      </c>
      <c r="F71" s="22">
        <v>108.51</v>
      </c>
      <c r="G71" s="22">
        <v>91.7</v>
      </c>
      <c r="H71" s="23">
        <v>59.04</v>
      </c>
    </row>
    <row r="72" spans="1:16" ht="15" thickBot="1" x14ac:dyDescent="0.5">
      <c r="A72" s="17" t="s">
        <v>63</v>
      </c>
      <c r="B72" s="22">
        <v>362.05</v>
      </c>
      <c r="C72" s="22">
        <v>381.59</v>
      </c>
      <c r="D72" s="22">
        <v>391.75</v>
      </c>
      <c r="E72" s="22">
        <v>406.6</v>
      </c>
      <c r="F72" s="22">
        <v>461.32</v>
      </c>
      <c r="G72" s="22">
        <v>611.39</v>
      </c>
      <c r="H72" s="23">
        <v>630</v>
      </c>
    </row>
    <row r="73" spans="1:16" ht="15" thickBot="1" x14ac:dyDescent="0.5">
      <c r="A73" s="17" t="s">
        <v>64</v>
      </c>
      <c r="B73" s="19">
        <f>C47</f>
        <v>2.4500000000000002</v>
      </c>
      <c r="C73" s="19">
        <f t="shared" ref="C73:E74" si="26">F47</f>
        <v>1.9</v>
      </c>
      <c r="D73" s="19">
        <f t="shared" si="26"/>
        <v>1.71</v>
      </c>
      <c r="E73" s="19">
        <f t="shared" si="26"/>
        <v>1.52</v>
      </c>
      <c r="F73" s="19">
        <f>K47</f>
        <v>1.1100000000000001</v>
      </c>
      <c r="G73" s="19">
        <f>N47</f>
        <v>1</v>
      </c>
      <c r="H73" s="19">
        <f>P47</f>
        <v>1</v>
      </c>
    </row>
    <row r="74" spans="1:16" ht="15" thickBot="1" x14ac:dyDescent="0.5">
      <c r="A74" s="17" t="s">
        <v>65</v>
      </c>
      <c r="B74" s="19">
        <f>C48</f>
        <v>0</v>
      </c>
      <c r="C74" s="19">
        <f t="shared" si="26"/>
        <v>0.57999999999999996</v>
      </c>
      <c r="D74" s="19">
        <f t="shared" si="26"/>
        <v>0.68</v>
      </c>
      <c r="E74" s="19">
        <f t="shared" si="26"/>
        <v>0.76</v>
      </c>
      <c r="F74" s="19">
        <f>K48</f>
        <v>0.88</v>
      </c>
      <c r="G74" s="19">
        <f>N48</f>
        <v>0.89</v>
      </c>
      <c r="H74" s="19">
        <f>P48</f>
        <v>0.95</v>
      </c>
    </row>
    <row r="75" spans="1:16" ht="15" thickBot="1" x14ac:dyDescent="0.5">
      <c r="A75" s="17" t="s">
        <v>66</v>
      </c>
      <c r="B75" s="18">
        <f>B72</f>
        <v>362.05</v>
      </c>
      <c r="C75" s="18">
        <f t="shared" ref="C75:H75" si="27">C72</f>
        <v>381.59</v>
      </c>
      <c r="D75" s="18">
        <f t="shared" si="27"/>
        <v>391.75</v>
      </c>
      <c r="E75" s="18">
        <f t="shared" si="27"/>
        <v>406.6</v>
      </c>
      <c r="F75" s="18">
        <f t="shared" si="27"/>
        <v>461.32</v>
      </c>
      <c r="G75" s="18">
        <f t="shared" si="27"/>
        <v>611.39</v>
      </c>
      <c r="H75" s="18">
        <f t="shared" si="27"/>
        <v>630</v>
      </c>
    </row>
    <row r="76" spans="1:16" ht="15" thickBot="1" x14ac:dyDescent="0.5">
      <c r="A76" s="17" t="s">
        <v>67</v>
      </c>
      <c r="B76" s="18">
        <f>B75*B69</f>
        <v>0</v>
      </c>
      <c r="C76" s="18">
        <f>C75*C69</f>
        <v>114.47699999999999</v>
      </c>
      <c r="D76" s="18">
        <f t="shared" ref="D76:H76" si="28">D75*D69</f>
        <v>156.70000000000002</v>
      </c>
      <c r="E76" s="18">
        <f t="shared" si="28"/>
        <v>203.3</v>
      </c>
      <c r="F76" s="18">
        <f t="shared" si="28"/>
        <v>322.92399999999998</v>
      </c>
      <c r="G76" s="18">
        <f t="shared" si="28"/>
        <v>550.25099999999998</v>
      </c>
      <c r="H76" s="18">
        <f t="shared" si="28"/>
        <v>598.5</v>
      </c>
    </row>
    <row r="77" spans="1:16" ht="15" thickBot="1" x14ac:dyDescent="0.5">
      <c r="A77" s="17" t="s">
        <v>68</v>
      </c>
      <c r="B77" s="18">
        <f>B71</f>
        <v>111.4</v>
      </c>
      <c r="C77" s="18">
        <f t="shared" ref="C77:H77" si="29">C71</f>
        <v>110.91</v>
      </c>
      <c r="D77" s="18">
        <f t="shared" si="29"/>
        <v>110.43</v>
      </c>
      <c r="E77" s="18">
        <f t="shared" si="29"/>
        <v>109.95</v>
      </c>
      <c r="F77" s="18">
        <f t="shared" si="29"/>
        <v>108.51</v>
      </c>
      <c r="G77" s="18">
        <f t="shared" si="29"/>
        <v>91.7</v>
      </c>
      <c r="H77" s="18">
        <f t="shared" si="29"/>
        <v>59.04</v>
      </c>
    </row>
    <row r="78" spans="1:16" ht="15" thickBot="1" x14ac:dyDescent="0.5">
      <c r="A78" s="17" t="s">
        <v>69</v>
      </c>
      <c r="B78" s="18">
        <f>B77*B73</f>
        <v>272.93</v>
      </c>
      <c r="C78" s="18">
        <f t="shared" ref="C78:H78" si="30">C77*C73</f>
        <v>210.72899999999998</v>
      </c>
      <c r="D78" s="18">
        <f t="shared" si="30"/>
        <v>188.83530000000002</v>
      </c>
      <c r="E78" s="18">
        <f>E77*E73</f>
        <v>167.124</v>
      </c>
      <c r="F78" s="18">
        <f t="shared" si="30"/>
        <v>120.44610000000002</v>
      </c>
      <c r="G78" s="18">
        <f t="shared" si="30"/>
        <v>91.7</v>
      </c>
      <c r="H78" s="18">
        <f t="shared" si="30"/>
        <v>59.04</v>
      </c>
    </row>
    <row r="84" ht="14.25" customHeight="1" x14ac:dyDescent="0.45"/>
    <row r="119" ht="14.25" customHeight="1" x14ac:dyDescent="0.45"/>
  </sheetData>
  <mergeCells count="24">
    <mergeCell ref="A68:A69"/>
    <mergeCell ref="B68:H68"/>
    <mergeCell ref="P56:P57"/>
    <mergeCell ref="A37:A39"/>
    <mergeCell ref="A40:A42"/>
    <mergeCell ref="A43:A45"/>
    <mergeCell ref="A46:A48"/>
    <mergeCell ref="A49:A51"/>
    <mergeCell ref="Q37:Q39"/>
    <mergeCell ref="Q40:Q42"/>
    <mergeCell ref="Q43:Q45"/>
    <mergeCell ref="Q46:Q48"/>
    <mergeCell ref="Q49:Q51"/>
    <mergeCell ref="A34:A36"/>
    <mergeCell ref="Q23:Q24"/>
    <mergeCell ref="Q25:Q27"/>
    <mergeCell ref="Q28:Q30"/>
    <mergeCell ref="Q31:Q33"/>
    <mergeCell ref="Q34:Q36"/>
    <mergeCell ref="A23:A24"/>
    <mergeCell ref="C23:P23"/>
    <mergeCell ref="A25:A27"/>
    <mergeCell ref="A28:A30"/>
    <mergeCell ref="A31:A3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"/>
  <sheetViews>
    <sheetView workbookViewId="0">
      <selection activeCell="J10" sqref="J10"/>
    </sheetView>
  </sheetViews>
  <sheetFormatPr defaultRowHeight="14.25" x14ac:dyDescent="0.45"/>
  <cols>
    <col min="1" max="16384" width="9.06640625" style="26"/>
  </cols>
  <sheetData>
    <row r="2" spans="2:12" x14ac:dyDescent="0.45">
      <c r="B2" s="224" t="s">
        <v>80</v>
      </c>
      <c r="C2" s="224" t="s">
        <v>70</v>
      </c>
      <c r="D2" s="224" t="s">
        <v>188</v>
      </c>
      <c r="E2" s="224" t="s">
        <v>71</v>
      </c>
      <c r="F2" s="224" t="s">
        <v>72</v>
      </c>
      <c r="G2" s="224" t="s">
        <v>189</v>
      </c>
      <c r="H2" s="224" t="s">
        <v>73</v>
      </c>
      <c r="I2" s="225" t="s">
        <v>190</v>
      </c>
      <c r="J2" s="224" t="s">
        <v>74</v>
      </c>
      <c r="K2" s="224" t="s">
        <v>75</v>
      </c>
      <c r="L2" s="224" t="s">
        <v>191</v>
      </c>
    </row>
    <row r="3" spans="2:12" x14ac:dyDescent="0.45">
      <c r="B3" s="224"/>
      <c r="C3" s="224"/>
      <c r="D3" s="224"/>
      <c r="E3" s="224"/>
      <c r="F3" s="224"/>
      <c r="G3" s="224"/>
      <c r="H3" s="224"/>
      <c r="I3" s="226"/>
      <c r="J3" s="224"/>
      <c r="K3" s="224"/>
      <c r="L3" s="224"/>
    </row>
    <row r="4" spans="2:12" x14ac:dyDescent="0.45">
      <c r="B4" s="82">
        <f>Главная!A14</f>
        <v>360</v>
      </c>
      <c r="C4" s="82">
        <f>Главная!B14</f>
        <v>44</v>
      </c>
      <c r="D4" s="82">
        <f>Главная!B2</f>
        <v>123</v>
      </c>
      <c r="E4" s="82">
        <f>Главная!C14</f>
        <v>0.66666666666666663</v>
      </c>
      <c r="F4" s="82">
        <f>Главная!D14</f>
        <v>0.58666666666666667</v>
      </c>
      <c r="G4" s="82">
        <f>Главная!E14</f>
        <v>0.4</v>
      </c>
      <c r="H4" s="82">
        <f>Главная!H14</f>
        <v>0.87999999999999989</v>
      </c>
      <c r="I4" s="83">
        <f>Главная!F14</f>
        <v>0.44</v>
      </c>
      <c r="J4" s="82">
        <f>Главная!I14</f>
        <v>3.8711111111111114</v>
      </c>
      <c r="K4" s="82">
        <f>Главная!J14</f>
        <v>40.128888888888888</v>
      </c>
      <c r="L4" s="82">
        <f>Главная!K14</f>
        <v>111.46913580246914</v>
      </c>
    </row>
    <row r="5" spans="2:12" x14ac:dyDescent="0.45">
      <c r="B5" s="82">
        <f>Главная!A15</f>
        <v>400</v>
      </c>
      <c r="C5" s="82">
        <f>Главная!B15</f>
        <v>49</v>
      </c>
      <c r="D5" s="82">
        <f>Главная!B3</f>
        <v>124</v>
      </c>
      <c r="E5" s="82">
        <f>Главная!C15</f>
        <v>0.74242424242424243</v>
      </c>
      <c r="F5" s="82">
        <f>Главная!D15</f>
        <v>0.72757575757575754</v>
      </c>
      <c r="G5" s="82">
        <f>Главная!E15</f>
        <v>0.4</v>
      </c>
      <c r="H5" s="82">
        <f>Главная!H15</f>
        <v>1.0913636363636363</v>
      </c>
      <c r="I5" s="83">
        <f>Главная!F15</f>
        <v>0.49000000000000005</v>
      </c>
      <c r="J5" s="82">
        <f>Главная!I15</f>
        <v>4.8696189164370978</v>
      </c>
      <c r="K5" s="82">
        <f>Главная!J15</f>
        <v>44.130381083562902</v>
      </c>
      <c r="L5" s="82">
        <f>Главная!K15</f>
        <v>110.32595270890727</v>
      </c>
    </row>
    <row r="6" spans="2:12" x14ac:dyDescent="0.45">
      <c r="B6" s="82">
        <f>Главная!A16</f>
        <v>440</v>
      </c>
      <c r="C6" s="82">
        <f>Главная!B16</f>
        <v>54</v>
      </c>
      <c r="D6" s="82">
        <f>Главная!B4</f>
        <v>124</v>
      </c>
      <c r="E6" s="82">
        <f>Главная!C16</f>
        <v>0.81818181818181823</v>
      </c>
      <c r="F6" s="82">
        <f>Главная!D16</f>
        <v>0.88363636363636378</v>
      </c>
      <c r="G6" s="82">
        <f>Главная!E16</f>
        <v>0.4</v>
      </c>
      <c r="H6" s="82">
        <f>Главная!H16</f>
        <v>1.3254545454545457</v>
      </c>
      <c r="I6" s="83">
        <f>Главная!F16</f>
        <v>0.54</v>
      </c>
      <c r="J6" s="82">
        <f>Главная!I16</f>
        <v>6.040991735537192</v>
      </c>
      <c r="K6" s="82">
        <f>Главная!J16</f>
        <v>47.95900826446281</v>
      </c>
      <c r="L6" s="82">
        <f>Главная!K16</f>
        <v>108.9977460555973</v>
      </c>
    </row>
    <row r="7" spans="2:12" x14ac:dyDescent="0.45">
      <c r="B7" s="82">
        <f>Главная!A17</f>
        <v>480</v>
      </c>
      <c r="C7" s="82">
        <f>Главная!B17</f>
        <v>59</v>
      </c>
      <c r="D7" s="82">
        <f>Главная!B5</f>
        <v>123</v>
      </c>
      <c r="E7" s="82">
        <f>Главная!C17</f>
        <v>0.89393939393939392</v>
      </c>
      <c r="F7" s="82">
        <f>Главная!D17</f>
        <v>1.0548484848484847</v>
      </c>
      <c r="G7" s="82">
        <f>Главная!E17</f>
        <v>0.4</v>
      </c>
      <c r="H7" s="82">
        <f>Главная!H17</f>
        <v>1.5822727272727271</v>
      </c>
      <c r="I7" s="83">
        <f>Главная!F17</f>
        <v>0.59</v>
      </c>
      <c r="J7" s="82">
        <f>Главная!I17</f>
        <v>7.3990036730945814</v>
      </c>
      <c r="K7" s="82">
        <f>Главная!J17</f>
        <v>51.600996326905417</v>
      </c>
      <c r="L7" s="82">
        <f>Главная!K17</f>
        <v>107.50207568105294</v>
      </c>
    </row>
    <row r="8" spans="2:12" x14ac:dyDescent="0.45">
      <c r="B8" s="82">
        <f>Главная!A18</f>
        <v>520</v>
      </c>
      <c r="C8" s="82">
        <f>Главная!B18</f>
        <v>62</v>
      </c>
      <c r="D8" s="82">
        <f>Главная!B6</f>
        <v>120</v>
      </c>
      <c r="E8" s="82">
        <f>Главная!C18</f>
        <v>0.93939393939393945</v>
      </c>
      <c r="F8" s="82">
        <f>Главная!D18</f>
        <v>1.164848484848485</v>
      </c>
      <c r="G8" s="82">
        <f>Главная!E18</f>
        <v>0.4</v>
      </c>
      <c r="H8" s="82">
        <f>Главная!H18</f>
        <v>1.7472727272727273</v>
      </c>
      <c r="I8" s="83">
        <f>Главная!F18</f>
        <v>0.62000000000000011</v>
      </c>
      <c r="J8" s="82">
        <f>Главная!I18</f>
        <v>8.3091276400367331</v>
      </c>
      <c r="K8" s="82">
        <f>Главная!J18</f>
        <v>53.690872359963265</v>
      </c>
      <c r="L8" s="82">
        <f>Главная!K18</f>
        <v>103.25167761531397</v>
      </c>
    </row>
    <row r="9" spans="2:12" x14ac:dyDescent="0.45">
      <c r="B9" s="82">
        <f>Главная!A19</f>
        <v>560</v>
      </c>
      <c r="C9" s="82">
        <f>Главная!B19</f>
        <v>64</v>
      </c>
      <c r="D9" s="82">
        <f>Главная!B7</f>
        <v>115</v>
      </c>
      <c r="E9" s="82">
        <f>Главная!C19</f>
        <v>0.96969696969696972</v>
      </c>
      <c r="F9" s="82">
        <f>Главная!D19</f>
        <v>1.2412121212121214</v>
      </c>
      <c r="G9" s="82">
        <f>Главная!E19</f>
        <v>0.4</v>
      </c>
      <c r="H9" s="82">
        <f>Главная!H19</f>
        <v>1.861818181818182</v>
      </c>
      <c r="I9" s="83">
        <f>Главная!F19</f>
        <v>0.64</v>
      </c>
      <c r="J9" s="82">
        <f>Главная!I19</f>
        <v>8.9574288337924717</v>
      </c>
      <c r="K9" s="82">
        <f>Главная!J19</f>
        <v>55.04257116620753</v>
      </c>
      <c r="L9" s="82">
        <f>Главная!K19</f>
        <v>98.290305653942028</v>
      </c>
    </row>
    <row r="10" spans="2:12" x14ac:dyDescent="0.45">
      <c r="B10" s="82">
        <f>Главная!A20</f>
        <v>600</v>
      </c>
      <c r="C10" s="82">
        <f>Главная!B20</f>
        <v>65</v>
      </c>
      <c r="D10" s="82">
        <f>Главная!B8</f>
        <v>109</v>
      </c>
      <c r="E10" s="82">
        <f>Главная!C20</f>
        <v>0.98484848484848486</v>
      </c>
      <c r="F10" s="82">
        <f>Главная!D20</f>
        <v>1.2803030303030303</v>
      </c>
      <c r="G10" s="82">
        <f>Главная!E20</f>
        <v>0.4</v>
      </c>
      <c r="H10" s="82">
        <f>Главная!H20</f>
        <v>1.9204545454545454</v>
      </c>
      <c r="I10" s="83">
        <f>Главная!F20</f>
        <v>0.65</v>
      </c>
      <c r="J10" s="82">
        <f>Главная!I20</f>
        <v>9.2943755739210285</v>
      </c>
      <c r="K10" s="82">
        <f>Главная!J20</f>
        <v>55.70562442607897</v>
      </c>
      <c r="L10" s="82">
        <f>Главная!K20</f>
        <v>92.842707376798273</v>
      </c>
    </row>
    <row r="11" spans="2:12" x14ac:dyDescent="0.45">
      <c r="B11" s="82">
        <f>Главная!A21</f>
        <v>630</v>
      </c>
      <c r="C11" s="82">
        <f>Главная!B21</f>
        <v>66</v>
      </c>
      <c r="D11" s="82">
        <f>Главная!B9</f>
        <v>102</v>
      </c>
      <c r="E11" s="82">
        <f>Главная!C21</f>
        <v>1</v>
      </c>
      <c r="F11" s="82">
        <f>Главная!D21</f>
        <v>1.32</v>
      </c>
      <c r="G11" s="82">
        <f>Главная!E21</f>
        <v>0.4</v>
      </c>
      <c r="H11" s="82">
        <f>Главная!H21</f>
        <v>1.98</v>
      </c>
      <c r="I11" s="83">
        <f>Главная!F21</f>
        <v>0.66</v>
      </c>
      <c r="J11" s="82">
        <f>Главная!I21</f>
        <v>9.64</v>
      </c>
      <c r="K11" s="82">
        <f>Главная!J21</f>
        <v>56.36</v>
      </c>
      <c r="L11" s="82">
        <f>Главная!K21</f>
        <v>89.460317460317455</v>
      </c>
    </row>
    <row r="12" spans="2:12" ht="17.649999999999999" x14ac:dyDescent="0.45">
      <c r="B12" s="84"/>
    </row>
  </sheetData>
  <mergeCells count="11">
    <mergeCell ref="H2:H3"/>
    <mergeCell ref="I2:I3"/>
    <mergeCell ref="J2:J3"/>
    <mergeCell ref="K2:K3"/>
    <mergeCell ref="L2:L3"/>
    <mergeCell ref="G2:G3"/>
    <mergeCell ref="B2:B3"/>
    <mergeCell ref="C2:C3"/>
    <mergeCell ref="D2:D3"/>
    <mergeCell ref="E2:E3"/>
    <mergeCell ref="F2:F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zoomScale="75" zoomScaleNormal="75" workbookViewId="0">
      <selection activeCell="M27" sqref="M27"/>
    </sheetView>
  </sheetViews>
  <sheetFormatPr defaultRowHeight="14.25" x14ac:dyDescent="0.45"/>
  <cols>
    <col min="1" max="16384" width="9.06640625" style="26"/>
  </cols>
  <sheetData>
    <row r="1" spans="1:16" x14ac:dyDescent="0.45">
      <c r="A1" s="227" t="s">
        <v>184</v>
      </c>
      <c r="B1" s="227" t="s">
        <v>76</v>
      </c>
      <c r="C1" s="227" t="s">
        <v>185</v>
      </c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6" x14ac:dyDescent="0.45">
      <c r="A2" s="227"/>
      <c r="B2" s="227"/>
      <c r="C2" s="28">
        <v>0</v>
      </c>
      <c r="D2" s="28">
        <v>0.1</v>
      </c>
      <c r="E2" s="28">
        <v>0.2</v>
      </c>
      <c r="F2" s="28">
        <v>0.3</v>
      </c>
      <c r="G2" s="28">
        <v>0.4</v>
      </c>
      <c r="H2" s="28">
        <v>0.5</v>
      </c>
      <c r="I2" s="28">
        <v>0.6</v>
      </c>
      <c r="J2" s="28">
        <v>0.7</v>
      </c>
      <c r="K2" s="28">
        <v>0.8</v>
      </c>
      <c r="L2" s="28">
        <v>0.83</v>
      </c>
      <c r="M2" s="28">
        <v>0.88</v>
      </c>
      <c r="N2" s="28">
        <v>0.89</v>
      </c>
      <c r="O2" s="28">
        <v>0.9</v>
      </c>
      <c r="P2" s="28">
        <v>0.95</v>
      </c>
    </row>
    <row r="3" spans="1:16" x14ac:dyDescent="0.45">
      <c r="A3" s="227" t="s">
        <v>186</v>
      </c>
      <c r="B3" s="81" t="s">
        <v>187</v>
      </c>
      <c r="C3" s="28">
        <v>5.0599999999999996</v>
      </c>
      <c r="D3" s="28">
        <v>4.92</v>
      </c>
      <c r="E3" s="28">
        <v>4.75</v>
      </c>
      <c r="F3" s="28">
        <v>4.5</v>
      </c>
      <c r="G3" s="28">
        <v>4.26</v>
      </c>
      <c r="H3" s="28">
        <v>3.94</v>
      </c>
      <c r="I3" s="28">
        <v>3.51</v>
      </c>
      <c r="J3" s="28">
        <v>3</v>
      </c>
      <c r="K3" s="28">
        <v>2.4</v>
      </c>
      <c r="L3" s="28"/>
      <c r="M3" s="28"/>
      <c r="N3" s="28">
        <v>1.45</v>
      </c>
      <c r="O3" s="28"/>
      <c r="P3" s="28">
        <v>0.88</v>
      </c>
    </row>
    <row r="4" spans="1:16" x14ac:dyDescent="0.45">
      <c r="A4" s="227"/>
      <c r="B4" s="28" t="s">
        <v>77</v>
      </c>
      <c r="C4" s="28">
        <v>2.4500000000000002</v>
      </c>
      <c r="D4" s="28">
        <v>2.2799999999999998</v>
      </c>
      <c r="E4" s="28">
        <v>2.1</v>
      </c>
      <c r="F4" s="28">
        <v>1.9</v>
      </c>
      <c r="G4" s="28">
        <v>1.71</v>
      </c>
      <c r="H4" s="28">
        <v>1.52</v>
      </c>
      <c r="I4" s="28">
        <v>1.37</v>
      </c>
      <c r="J4" s="28">
        <v>1.23</v>
      </c>
      <c r="K4" s="28">
        <v>1.1100000000000001</v>
      </c>
      <c r="L4" s="28"/>
      <c r="M4" s="28"/>
      <c r="N4" s="28">
        <v>1</v>
      </c>
      <c r="O4" s="28"/>
      <c r="P4" s="28">
        <v>1</v>
      </c>
    </row>
    <row r="5" spans="1:16" x14ac:dyDescent="0.45">
      <c r="A5" s="227"/>
      <c r="B5" s="81" t="s">
        <v>97</v>
      </c>
      <c r="C5" s="28">
        <v>0</v>
      </c>
      <c r="D5" s="28">
        <v>0.23</v>
      </c>
      <c r="E5" s="28">
        <v>0.43</v>
      </c>
      <c r="F5" s="28">
        <v>0.57999999999999996</v>
      </c>
      <c r="G5" s="28">
        <v>0.68</v>
      </c>
      <c r="H5" s="28">
        <v>0.76</v>
      </c>
      <c r="I5" s="28">
        <v>0.82</v>
      </c>
      <c r="J5" s="28">
        <v>0.86</v>
      </c>
      <c r="K5" s="28">
        <v>0.88</v>
      </c>
      <c r="L5" s="28"/>
      <c r="M5" s="28"/>
      <c r="N5" s="28">
        <v>0.89</v>
      </c>
      <c r="O5" s="28"/>
      <c r="P5" s="28">
        <v>0.95</v>
      </c>
    </row>
  </sheetData>
  <mergeCells count="4">
    <mergeCell ref="A1:A2"/>
    <mergeCell ref="B1:B2"/>
    <mergeCell ref="C1:P1"/>
    <mergeCell ref="A3:A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zoomScale="75" zoomScaleNormal="75" workbookViewId="0">
      <selection activeCell="K34" sqref="K34"/>
    </sheetView>
  </sheetViews>
  <sheetFormatPr defaultRowHeight="14.25" x14ac:dyDescent="0.45"/>
  <cols>
    <col min="1" max="16384" width="9.06640625" style="26"/>
  </cols>
  <sheetData>
    <row r="1" spans="1:3" x14ac:dyDescent="0.45">
      <c r="A1" s="24" t="s">
        <v>96</v>
      </c>
      <c r="B1" s="25" t="s">
        <v>97</v>
      </c>
      <c r="C1" s="25" t="s">
        <v>98</v>
      </c>
    </row>
    <row r="2" spans="1:3" x14ac:dyDescent="0.45">
      <c r="A2" s="85">
        <f>Главная!B78</f>
        <v>272.93</v>
      </c>
      <c r="B2" s="85">
        <f>Главная!B74</f>
        <v>0</v>
      </c>
      <c r="C2" s="85">
        <f>Главная!B76</f>
        <v>0</v>
      </c>
    </row>
    <row r="3" spans="1:3" x14ac:dyDescent="0.45">
      <c r="A3" s="85">
        <f>Главная!C78</f>
        <v>210.72899999999998</v>
      </c>
      <c r="B3" s="85">
        <f>Главная!C74</f>
        <v>0.57999999999999996</v>
      </c>
      <c r="C3" s="85">
        <f>Главная!C76</f>
        <v>114.47699999999999</v>
      </c>
    </row>
    <row r="4" spans="1:3" x14ac:dyDescent="0.45">
      <c r="A4" s="85">
        <f>Главная!D78</f>
        <v>188.83530000000002</v>
      </c>
      <c r="B4" s="85">
        <f>Главная!D74</f>
        <v>0.68</v>
      </c>
      <c r="C4" s="85">
        <f>Главная!D76</f>
        <v>156.70000000000002</v>
      </c>
    </row>
    <row r="5" spans="1:3" x14ac:dyDescent="0.45">
      <c r="A5" s="85">
        <f>Главная!E78</f>
        <v>167.124</v>
      </c>
      <c r="B5" s="85">
        <f>Главная!E74</f>
        <v>0.76</v>
      </c>
      <c r="C5" s="85">
        <f>Главная!E76</f>
        <v>203.3</v>
      </c>
    </row>
    <row r="6" spans="1:3" x14ac:dyDescent="0.45">
      <c r="A6" s="85">
        <f>Главная!F78</f>
        <v>120.44610000000002</v>
      </c>
      <c r="B6" s="85">
        <f>Главная!F74</f>
        <v>0.88</v>
      </c>
      <c r="C6" s="85">
        <f>Главная!F76</f>
        <v>322.92399999999998</v>
      </c>
    </row>
    <row r="7" spans="1:3" x14ac:dyDescent="0.45">
      <c r="A7" s="85">
        <f>Главная!G78</f>
        <v>91.7</v>
      </c>
      <c r="B7" s="85">
        <f>Главная!G74</f>
        <v>0.89</v>
      </c>
      <c r="C7" s="85">
        <f>Главная!G76</f>
        <v>550.25099999999998</v>
      </c>
    </row>
    <row r="8" spans="1:3" x14ac:dyDescent="0.45">
      <c r="A8" s="85">
        <f>Главная!H78</f>
        <v>59.04</v>
      </c>
      <c r="B8" s="85">
        <f>Главная!H74</f>
        <v>0.95</v>
      </c>
      <c r="C8" s="85">
        <f>Главная!H76</f>
        <v>598.5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"/>
  <sheetViews>
    <sheetView zoomScale="90" zoomScaleNormal="90" workbookViewId="0">
      <selection activeCell="U17" sqref="U17"/>
    </sheetView>
  </sheetViews>
  <sheetFormatPr defaultRowHeight="14.25" x14ac:dyDescent="0.45"/>
  <cols>
    <col min="1" max="2" width="9.06640625" style="26"/>
    <col min="3" max="3" width="1.3984375" style="26" customWidth="1"/>
    <col min="4" max="4" width="9.06640625" style="26"/>
    <col min="5" max="5" width="7" style="26" customWidth="1"/>
    <col min="6" max="6" width="1.1328125" style="26" customWidth="1"/>
    <col min="7" max="7" width="6.73046875" style="26" customWidth="1"/>
    <col min="8" max="8" width="7.1328125" style="26" customWidth="1"/>
    <col min="9" max="9" width="6.1328125" style="26" customWidth="1"/>
    <col min="10" max="10" width="9.06640625" style="26"/>
    <col min="11" max="11" width="6.265625" style="26" customWidth="1"/>
    <col min="12" max="12" width="6.86328125" style="26" customWidth="1"/>
    <col min="13" max="19" width="9.06640625" style="26"/>
    <col min="20" max="20" width="12" style="26" customWidth="1"/>
    <col min="21" max="21" width="3.73046875" style="26" customWidth="1"/>
    <col min="22" max="22" width="9.06640625" style="26"/>
    <col min="23" max="23" width="1.59765625" style="26" customWidth="1"/>
    <col min="24" max="24" width="9.06640625" style="26"/>
    <col min="25" max="25" width="2.86328125" style="26" customWidth="1"/>
    <col min="26" max="26" width="9.06640625" style="26"/>
    <col min="27" max="27" width="1.59765625" style="26" customWidth="1"/>
    <col min="28" max="28" width="9.06640625" style="26"/>
    <col min="29" max="29" width="2.73046875" style="26" customWidth="1"/>
    <col min="30" max="16384" width="9.06640625" style="26"/>
  </cols>
  <sheetData>
    <row r="1" spans="1:31" x14ac:dyDescent="0.45">
      <c r="A1" s="37" t="s">
        <v>80</v>
      </c>
      <c r="B1" s="38" t="s">
        <v>118</v>
      </c>
      <c r="C1" s="39"/>
      <c r="D1" s="37" t="s">
        <v>119</v>
      </c>
      <c r="E1" s="86">
        <f>Главная!C58</f>
        <v>5.0599999999999996</v>
      </c>
      <c r="G1" s="24" t="s">
        <v>120</v>
      </c>
      <c r="H1" s="24" t="s">
        <v>121</v>
      </c>
      <c r="I1" s="24" t="s">
        <v>122</v>
      </c>
      <c r="J1" s="24" t="s">
        <v>123</v>
      </c>
      <c r="K1" s="24" t="s">
        <v>124</v>
      </c>
      <c r="L1" s="24" t="s">
        <v>125</v>
      </c>
      <c r="Q1" s="230" t="s">
        <v>59</v>
      </c>
      <c r="R1" s="230"/>
      <c r="S1" s="230" t="s">
        <v>126</v>
      </c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40"/>
      <c r="AE1" s="41"/>
    </row>
    <row r="2" spans="1:31" x14ac:dyDescent="0.45">
      <c r="A2" s="87">
        <f>Главная!A58</f>
        <v>360</v>
      </c>
      <c r="B2" s="86">
        <f>Главная!P58</f>
        <v>111.46913580246914</v>
      </c>
      <c r="C2" s="39"/>
      <c r="D2" s="37" t="s">
        <v>127</v>
      </c>
      <c r="E2" s="86">
        <f>Главная!G58</f>
        <v>4.26</v>
      </c>
      <c r="G2" s="42">
        <f>$E$1*($E$7^5)*A2^2</f>
        <v>110.74365615085974</v>
      </c>
      <c r="H2" s="42">
        <f>$E$2*($E$7^5)*A2^2</f>
        <v>93.234777708036063</v>
      </c>
      <c r="I2" s="42">
        <f>$E$3*($E$7^5)*A2^2</f>
        <v>86.231226330906594</v>
      </c>
      <c r="J2" s="42">
        <f>$E$4*($E$7^5)*A2^2</f>
        <v>65.658294160588781</v>
      </c>
      <c r="K2" s="42">
        <f>$E$5*($E$7^5)*A2^2</f>
        <v>31.734842177617914</v>
      </c>
      <c r="L2" s="42">
        <f>$E$6*($E$7^5)*A2^2</f>
        <v>19.259766287106046</v>
      </c>
      <c r="Q2" s="230"/>
      <c r="R2" s="230"/>
      <c r="S2" s="95" t="s">
        <v>128</v>
      </c>
      <c r="T2" s="231" t="s">
        <v>129</v>
      </c>
      <c r="U2" s="232"/>
      <c r="V2" s="231" t="s">
        <v>130</v>
      </c>
      <c r="W2" s="232"/>
      <c r="X2" s="231" t="s">
        <v>131</v>
      </c>
      <c r="Y2" s="232"/>
      <c r="Z2" s="233" t="s">
        <v>132</v>
      </c>
      <c r="AA2" s="233"/>
      <c r="AB2" s="233" t="s">
        <v>133</v>
      </c>
      <c r="AC2" s="233"/>
      <c r="AD2" s="40"/>
      <c r="AE2" s="41"/>
    </row>
    <row r="3" spans="1:31" x14ac:dyDescent="0.45">
      <c r="A3" s="87">
        <f>Главная!A59</f>
        <v>400</v>
      </c>
      <c r="B3" s="86">
        <f>Главная!P59</f>
        <v>110.32595270890727</v>
      </c>
      <c r="C3" s="39"/>
      <c r="D3" s="37" t="s">
        <v>134</v>
      </c>
      <c r="E3" s="86">
        <f>Главная!I58</f>
        <v>3.94</v>
      </c>
      <c r="G3" s="42">
        <f>$E$1*($E$7^5)*A3^2</f>
        <v>136.72056314920957</v>
      </c>
      <c r="H3" s="42">
        <f t="shared" ref="H3:H9" si="0">$E$2*($E$7^5)*A3^2</f>
        <v>115.10466383708156</v>
      </c>
      <c r="I3" s="42">
        <f t="shared" ref="I3:I9" si="1">$E$3*($E$7^5)*A3^2</f>
        <v>106.45830411223037</v>
      </c>
      <c r="J3" s="42">
        <f t="shared" ref="J3:J9" si="2">$E$4*($E$7^5)*A3^2</f>
        <v>81.059622420479968</v>
      </c>
      <c r="K3" s="42">
        <f t="shared" ref="K3:K9" si="3">$E$5*($E$7^5)*A3^2</f>
        <v>39.17881750323199</v>
      </c>
      <c r="L3" s="42">
        <f>$E$6*($E$7^5)*A3^2</f>
        <v>23.777489243340796</v>
      </c>
      <c r="Q3" s="233" t="s">
        <v>135</v>
      </c>
      <c r="R3" s="233"/>
      <c r="S3" s="88">
        <f>Главная!B70</f>
        <v>5.0599999999999996</v>
      </c>
      <c r="T3" s="228">
        <f>Главная!D70</f>
        <v>4.26</v>
      </c>
      <c r="U3" s="229"/>
      <c r="V3" s="228">
        <f>Главная!E70</f>
        <v>3.94</v>
      </c>
      <c r="W3" s="229"/>
      <c r="X3" s="228">
        <f>Главная!F70</f>
        <v>3</v>
      </c>
      <c r="Y3" s="229"/>
      <c r="Z3" s="228">
        <f>Главная!G70</f>
        <v>1.45</v>
      </c>
      <c r="AA3" s="229"/>
      <c r="AB3" s="228">
        <f>Главная!H70</f>
        <v>0.88</v>
      </c>
      <c r="AC3" s="229"/>
      <c r="AD3" s="40"/>
      <c r="AE3" s="41"/>
    </row>
    <row r="4" spans="1:31" x14ac:dyDescent="0.45">
      <c r="A4" s="87">
        <f>Главная!A60</f>
        <v>440</v>
      </c>
      <c r="B4" s="86">
        <f>Главная!P60</f>
        <v>108.9977460555973</v>
      </c>
      <c r="C4" s="39"/>
      <c r="D4" s="37" t="s">
        <v>136</v>
      </c>
      <c r="E4" s="86">
        <f>Главная!K58</f>
        <v>3</v>
      </c>
      <c r="G4" s="42">
        <f t="shared" ref="G4:G9" si="4">$E$1*($E$7^5)*A4^2</f>
        <v>165.43188141054355</v>
      </c>
      <c r="H4" s="42">
        <f t="shared" si="0"/>
        <v>139.27664324286869</v>
      </c>
      <c r="I4" s="42">
        <f t="shared" si="1"/>
        <v>128.81454797579875</v>
      </c>
      <c r="J4" s="42">
        <f t="shared" si="2"/>
        <v>98.082143128780771</v>
      </c>
      <c r="K4" s="42">
        <f t="shared" si="3"/>
        <v>47.406369178910708</v>
      </c>
      <c r="L4" s="42">
        <f t="shared" ref="L4:L9" si="5">$E$6*($E$7^5)*A4^2</f>
        <v>28.770761984442363</v>
      </c>
      <c r="Q4" s="233" t="s">
        <v>137</v>
      </c>
      <c r="R4" s="233"/>
      <c r="S4" s="88">
        <f>Главная!B71</f>
        <v>111.4</v>
      </c>
      <c r="T4" s="228">
        <f>Главная!D71</f>
        <v>110.43</v>
      </c>
      <c r="U4" s="229"/>
      <c r="V4" s="228">
        <f>Главная!E71</f>
        <v>109.95</v>
      </c>
      <c r="W4" s="229"/>
      <c r="X4" s="228">
        <f>Главная!F71</f>
        <v>108.51</v>
      </c>
      <c r="Y4" s="229"/>
      <c r="Z4" s="228">
        <f>Главная!G71</f>
        <v>91.7</v>
      </c>
      <c r="AA4" s="229"/>
      <c r="AB4" s="228">
        <f>Главная!H71</f>
        <v>59.04</v>
      </c>
      <c r="AC4" s="229"/>
      <c r="AD4" s="40"/>
      <c r="AE4" s="41"/>
    </row>
    <row r="5" spans="1:31" x14ac:dyDescent="0.45">
      <c r="A5" s="87">
        <f>Главная!A61</f>
        <v>480</v>
      </c>
      <c r="B5" s="86">
        <f>Главная!P61</f>
        <v>107.50207568105294</v>
      </c>
      <c r="C5" s="39"/>
      <c r="D5" s="37" t="s">
        <v>138</v>
      </c>
      <c r="E5" s="86">
        <f>Главная!M58</f>
        <v>1.45</v>
      </c>
      <c r="G5" s="42">
        <f t="shared" si="4"/>
        <v>196.87761093486176</v>
      </c>
      <c r="H5" s="42">
        <f t="shared" si="0"/>
        <v>165.75071592539746</v>
      </c>
      <c r="I5" s="42">
        <f t="shared" si="1"/>
        <v>153.29995792161174</v>
      </c>
      <c r="J5" s="42">
        <f t="shared" si="2"/>
        <v>116.72585628549116</v>
      </c>
      <c r="K5" s="42">
        <f t="shared" si="3"/>
        <v>56.417497204654069</v>
      </c>
      <c r="L5" s="42">
        <f t="shared" si="5"/>
        <v>34.239584510410744</v>
      </c>
      <c r="Q5" s="233" t="s">
        <v>139</v>
      </c>
      <c r="R5" s="233"/>
      <c r="S5" s="88">
        <f>Главная!B72</f>
        <v>362.05</v>
      </c>
      <c r="T5" s="228">
        <f>Главная!D72</f>
        <v>391.75</v>
      </c>
      <c r="U5" s="229"/>
      <c r="V5" s="228">
        <f>Главная!E72</f>
        <v>406.6</v>
      </c>
      <c r="W5" s="229"/>
      <c r="X5" s="228">
        <f>Главная!F72</f>
        <v>461.32</v>
      </c>
      <c r="Y5" s="229"/>
      <c r="Z5" s="228">
        <f>Главная!G72</f>
        <v>611.39</v>
      </c>
      <c r="AA5" s="229"/>
      <c r="AB5" s="228">
        <f>Главная!H72</f>
        <v>630</v>
      </c>
      <c r="AC5" s="229"/>
      <c r="AD5" s="40"/>
      <c r="AE5" s="41"/>
    </row>
    <row r="6" spans="1:31" x14ac:dyDescent="0.45">
      <c r="A6" s="87">
        <f>Главная!A62</f>
        <v>520</v>
      </c>
      <c r="B6" s="86">
        <f>Главная!P62</f>
        <v>103.25167761531397</v>
      </c>
      <c r="C6" s="39"/>
      <c r="D6" s="37" t="s">
        <v>140</v>
      </c>
      <c r="E6" s="86">
        <f>Главная!O58</f>
        <v>0.88</v>
      </c>
      <c r="G6" s="42">
        <f t="shared" si="4"/>
        <v>231.05775172216414</v>
      </c>
      <c r="H6" s="42">
        <f t="shared" si="0"/>
        <v>194.52688188466783</v>
      </c>
      <c r="I6" s="42">
        <f t="shared" si="1"/>
        <v>179.91453394966933</v>
      </c>
      <c r="J6" s="42">
        <f t="shared" si="2"/>
        <v>136.99076189061117</v>
      </c>
      <c r="K6" s="42">
        <f t="shared" si="3"/>
        <v>66.212201580462064</v>
      </c>
      <c r="L6" s="42">
        <f t="shared" si="5"/>
        <v>40.183956821245943</v>
      </c>
      <c r="Q6" s="233" t="s">
        <v>141</v>
      </c>
      <c r="R6" s="233"/>
      <c r="S6" s="88">
        <f>Главная!B73</f>
        <v>2.4500000000000002</v>
      </c>
      <c r="T6" s="228">
        <f>Главная!D73</f>
        <v>1.71</v>
      </c>
      <c r="U6" s="229"/>
      <c r="V6" s="228">
        <f>Главная!E73</f>
        <v>1.52</v>
      </c>
      <c r="W6" s="229"/>
      <c r="X6" s="228">
        <f>Главная!F73</f>
        <v>1.1100000000000001</v>
      </c>
      <c r="Y6" s="229"/>
      <c r="Z6" s="228">
        <f>Главная!G73</f>
        <v>1</v>
      </c>
      <c r="AA6" s="229"/>
      <c r="AB6" s="228">
        <f>Главная!H73</f>
        <v>1</v>
      </c>
      <c r="AC6" s="229"/>
      <c r="AD6" s="40"/>
      <c r="AE6" s="41"/>
    </row>
    <row r="7" spans="1:31" x14ac:dyDescent="0.45">
      <c r="A7" s="87">
        <f>Главная!A63</f>
        <v>560</v>
      </c>
      <c r="B7" s="86">
        <f>Главная!P63</f>
        <v>98.290305653942028</v>
      </c>
      <c r="C7" s="43"/>
      <c r="D7" s="38" t="s">
        <v>78</v>
      </c>
      <c r="E7" s="86">
        <f>Главная!B54</f>
        <v>0.17599999999999999</v>
      </c>
      <c r="G7" s="42">
        <f t="shared" si="4"/>
        <v>267.97230377245074</v>
      </c>
      <c r="H7" s="42">
        <f t="shared" si="0"/>
        <v>225.60514112067986</v>
      </c>
      <c r="I7" s="42">
        <f t="shared" si="1"/>
        <v>208.65827605997151</v>
      </c>
      <c r="J7" s="42">
        <f t="shared" si="2"/>
        <v>158.87685994414076</v>
      </c>
      <c r="K7" s="42">
        <f t="shared" si="3"/>
        <v>76.79048230633471</v>
      </c>
      <c r="L7" s="42">
        <f t="shared" si="5"/>
        <v>46.603878916947963</v>
      </c>
      <c r="Q7" s="233" t="s">
        <v>142</v>
      </c>
      <c r="R7" s="233"/>
      <c r="S7" s="88">
        <f>Главная!B74</f>
        <v>0</v>
      </c>
      <c r="T7" s="228">
        <f>Главная!D74</f>
        <v>0.68</v>
      </c>
      <c r="U7" s="229"/>
      <c r="V7" s="228">
        <f>Главная!E74</f>
        <v>0.76</v>
      </c>
      <c r="W7" s="229"/>
      <c r="X7" s="228">
        <f>Главная!F74</f>
        <v>0.88</v>
      </c>
      <c r="Y7" s="229"/>
      <c r="Z7" s="228">
        <f>Главная!G74</f>
        <v>0.89</v>
      </c>
      <c r="AA7" s="229"/>
      <c r="AB7" s="228">
        <f>Главная!H74</f>
        <v>0.95</v>
      </c>
      <c r="AC7" s="229"/>
      <c r="AD7" s="40"/>
      <c r="AE7" s="41"/>
    </row>
    <row r="8" spans="1:31" x14ac:dyDescent="0.45">
      <c r="A8" s="87">
        <f>Главная!A64</f>
        <v>600</v>
      </c>
      <c r="B8" s="86">
        <f>Главная!P64</f>
        <v>92.842707376798273</v>
      </c>
      <c r="C8" s="44"/>
      <c r="D8" s="45"/>
      <c r="E8" s="45"/>
      <c r="G8" s="42">
        <f t="shared" si="4"/>
        <v>307.62126708572151</v>
      </c>
      <c r="H8" s="42">
        <f t="shared" si="0"/>
        <v>258.98549363343352</v>
      </c>
      <c r="I8" s="42">
        <f t="shared" si="1"/>
        <v>239.53118425251833</v>
      </c>
      <c r="J8" s="42">
        <f t="shared" si="2"/>
        <v>182.38415044607996</v>
      </c>
      <c r="K8" s="42">
        <f t="shared" si="3"/>
        <v>88.152339382271975</v>
      </c>
      <c r="L8" s="42">
        <f t="shared" si="5"/>
        <v>53.49935079751679</v>
      </c>
      <c r="Q8" s="233" t="s">
        <v>143</v>
      </c>
      <c r="R8" s="233"/>
      <c r="S8" s="88">
        <f>Главная!B75</f>
        <v>362.05</v>
      </c>
      <c r="T8" s="228">
        <f>Главная!D75</f>
        <v>391.75</v>
      </c>
      <c r="U8" s="229"/>
      <c r="V8" s="228">
        <f>Главная!E75</f>
        <v>406.6</v>
      </c>
      <c r="W8" s="229"/>
      <c r="X8" s="228">
        <f>Главная!F75</f>
        <v>461.32</v>
      </c>
      <c r="Y8" s="229"/>
      <c r="Z8" s="228">
        <f>Главная!G75</f>
        <v>611.39</v>
      </c>
      <c r="AA8" s="229"/>
      <c r="AB8" s="228">
        <f>Главная!H75</f>
        <v>630</v>
      </c>
      <c r="AC8" s="229"/>
      <c r="AD8" s="40"/>
      <c r="AE8" s="41"/>
    </row>
    <row r="9" spans="1:31" x14ac:dyDescent="0.45">
      <c r="A9" s="87">
        <f>Главная!A65</f>
        <v>630</v>
      </c>
      <c r="B9" s="86">
        <f>Главная!P65</f>
        <v>89.460317460317455</v>
      </c>
      <c r="C9" s="44"/>
      <c r="D9" s="46"/>
      <c r="E9" s="46"/>
      <c r="G9" s="42">
        <f t="shared" si="4"/>
        <v>339.15244696200796</v>
      </c>
      <c r="H9" s="42">
        <f t="shared" si="0"/>
        <v>285.53150673086043</v>
      </c>
      <c r="I9" s="42">
        <f t="shared" si="1"/>
        <v>264.08313063840143</v>
      </c>
      <c r="J9" s="42">
        <f t="shared" si="2"/>
        <v>201.07852586680315</v>
      </c>
      <c r="K9" s="42">
        <f t="shared" si="3"/>
        <v>97.18795416895486</v>
      </c>
      <c r="L9" s="42">
        <f t="shared" si="5"/>
        <v>58.983034254262265</v>
      </c>
      <c r="Q9" s="233" t="s">
        <v>144</v>
      </c>
      <c r="R9" s="233"/>
      <c r="S9" s="88">
        <f>Главная!B76</f>
        <v>0</v>
      </c>
      <c r="T9" s="228">
        <f>Главная!D76</f>
        <v>156.70000000000002</v>
      </c>
      <c r="U9" s="229"/>
      <c r="V9" s="228">
        <f>Главная!E76</f>
        <v>203.3</v>
      </c>
      <c r="W9" s="229"/>
      <c r="X9" s="228">
        <f>Главная!F76</f>
        <v>322.92399999999998</v>
      </c>
      <c r="Y9" s="229"/>
      <c r="Z9" s="228">
        <f>Главная!G76</f>
        <v>550.25099999999998</v>
      </c>
      <c r="AA9" s="229"/>
      <c r="AB9" s="228">
        <f>Главная!H76</f>
        <v>598.5</v>
      </c>
      <c r="AC9" s="229"/>
      <c r="AD9" s="40"/>
      <c r="AE9" s="41"/>
    </row>
    <row r="10" spans="1:31" x14ac:dyDescent="0.45">
      <c r="Q10" s="233" t="s">
        <v>145</v>
      </c>
      <c r="R10" s="233"/>
      <c r="S10" s="88">
        <f>Главная!B77</f>
        <v>111.4</v>
      </c>
      <c r="T10" s="228">
        <f>Главная!D77</f>
        <v>110.43</v>
      </c>
      <c r="U10" s="229"/>
      <c r="V10" s="228">
        <f>Главная!E77</f>
        <v>109.95</v>
      </c>
      <c r="W10" s="229"/>
      <c r="X10" s="228">
        <f>Главная!F77</f>
        <v>108.51</v>
      </c>
      <c r="Y10" s="229"/>
      <c r="Z10" s="228">
        <f>Главная!G77</f>
        <v>91.7</v>
      </c>
      <c r="AA10" s="229"/>
      <c r="AB10" s="228">
        <f>Главная!H77</f>
        <v>59.04</v>
      </c>
      <c r="AC10" s="229"/>
      <c r="AD10" s="40"/>
      <c r="AE10" s="41"/>
    </row>
    <row r="11" spans="1:31" x14ac:dyDescent="0.45">
      <c r="Q11" s="233" t="s">
        <v>146</v>
      </c>
      <c r="R11" s="233"/>
      <c r="S11" s="88">
        <f>Главная!B78</f>
        <v>272.93</v>
      </c>
      <c r="T11" s="228">
        <f>Главная!D78</f>
        <v>188.83530000000002</v>
      </c>
      <c r="U11" s="229"/>
      <c r="V11" s="228">
        <f>Главная!E78</f>
        <v>167.124</v>
      </c>
      <c r="W11" s="229"/>
      <c r="X11" s="228">
        <f>Главная!F78</f>
        <v>120.44610000000002</v>
      </c>
      <c r="Y11" s="229"/>
      <c r="Z11" s="228">
        <f>Главная!G78</f>
        <v>91.7</v>
      </c>
      <c r="AA11" s="229"/>
      <c r="AB11" s="228">
        <f>Главная!H78</f>
        <v>59.04</v>
      </c>
      <c r="AC11" s="229"/>
      <c r="AD11" s="40"/>
      <c r="AE11" s="40"/>
    </row>
    <row r="12" spans="1:31" x14ac:dyDescent="0.45"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8"/>
      <c r="AE12" s="48"/>
    </row>
    <row r="13" spans="1:31" x14ac:dyDescent="0.45">
      <c r="Q13" s="48"/>
      <c r="R13" s="48"/>
      <c r="S13" s="48"/>
      <c r="T13" s="48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50"/>
    </row>
    <row r="14" spans="1:31" x14ac:dyDescent="0.45">
      <c r="Q14" s="51"/>
      <c r="R14" s="49"/>
      <c r="S14" s="49"/>
      <c r="T14" s="49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</row>
    <row r="15" spans="1:31" x14ac:dyDescent="0.45">
      <c r="Q15" s="51"/>
      <c r="R15" s="49"/>
      <c r="S15" s="49"/>
      <c r="T15" s="49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</row>
    <row r="16" spans="1:31" x14ac:dyDescent="0.45">
      <c r="Q16" s="51"/>
      <c r="R16" s="49"/>
      <c r="S16" s="49"/>
      <c r="T16" s="49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</row>
    <row r="17" spans="17:31" x14ac:dyDescent="0.45">
      <c r="Q17" s="51"/>
      <c r="R17" s="49"/>
      <c r="S17" s="49"/>
      <c r="T17" s="49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</row>
    <row r="18" spans="17:31" x14ac:dyDescent="0.45">
      <c r="Q18" s="49"/>
      <c r="R18" s="49"/>
      <c r="S18" s="49"/>
      <c r="T18" s="49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</row>
    <row r="19" spans="17:31" x14ac:dyDescent="0.45">
      <c r="Q19" s="49"/>
      <c r="R19" s="49"/>
      <c r="S19" s="49"/>
      <c r="T19" s="49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</row>
    <row r="20" spans="17:31" x14ac:dyDescent="0.45">
      <c r="Q20" s="49"/>
      <c r="R20" s="49"/>
      <c r="S20" s="49"/>
      <c r="T20" s="49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</row>
    <row r="21" spans="17:31" x14ac:dyDescent="0.45">
      <c r="Q21" s="49"/>
      <c r="R21" s="49"/>
      <c r="S21" s="49"/>
      <c r="T21" s="49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</row>
  </sheetData>
  <mergeCells count="61">
    <mergeCell ref="AB11:AC11"/>
    <mergeCell ref="Q10:R10"/>
    <mergeCell ref="T10:U10"/>
    <mergeCell ref="V10:W10"/>
    <mergeCell ref="X10:Y10"/>
    <mergeCell ref="Z10:AA10"/>
    <mergeCell ref="AB10:AC10"/>
    <mergeCell ref="Q11:R11"/>
    <mergeCell ref="T11:U11"/>
    <mergeCell ref="V11:W11"/>
    <mergeCell ref="X11:Y11"/>
    <mergeCell ref="Z11:AA11"/>
    <mergeCell ref="AB9:AC9"/>
    <mergeCell ref="Q8:R8"/>
    <mergeCell ref="T8:U8"/>
    <mergeCell ref="V8:W8"/>
    <mergeCell ref="X8:Y8"/>
    <mergeCell ref="Z8:AA8"/>
    <mergeCell ref="AB8:AC8"/>
    <mergeCell ref="Q9:R9"/>
    <mergeCell ref="T9:U9"/>
    <mergeCell ref="V9:W9"/>
    <mergeCell ref="X9:Y9"/>
    <mergeCell ref="Z9:AA9"/>
    <mergeCell ref="AB7:AC7"/>
    <mergeCell ref="Q6:R6"/>
    <mergeCell ref="T6:U6"/>
    <mergeCell ref="V6:W6"/>
    <mergeCell ref="X6:Y6"/>
    <mergeCell ref="Z6:AA6"/>
    <mergeCell ref="AB6:AC6"/>
    <mergeCell ref="Q7:R7"/>
    <mergeCell ref="T7:U7"/>
    <mergeCell ref="V7:W7"/>
    <mergeCell ref="X7:Y7"/>
    <mergeCell ref="Z7:AA7"/>
    <mergeCell ref="AB5:AC5"/>
    <mergeCell ref="Q4:R4"/>
    <mergeCell ref="T4:U4"/>
    <mergeCell ref="V4:W4"/>
    <mergeCell ref="X4:Y4"/>
    <mergeCell ref="Z4:AA4"/>
    <mergeCell ref="AB4:AC4"/>
    <mergeCell ref="Q5:R5"/>
    <mergeCell ref="T5:U5"/>
    <mergeCell ref="V5:W5"/>
    <mergeCell ref="X5:Y5"/>
    <mergeCell ref="Z5:AA5"/>
    <mergeCell ref="AB3:AC3"/>
    <mergeCell ref="Q1:R2"/>
    <mergeCell ref="S1:AC1"/>
    <mergeCell ref="T2:U2"/>
    <mergeCell ref="V2:W2"/>
    <mergeCell ref="X2:Y2"/>
    <mergeCell ref="Z2:AA2"/>
    <mergeCell ref="AB2:AC2"/>
    <mergeCell ref="Q3:R3"/>
    <mergeCell ref="T3:U3"/>
    <mergeCell ref="V3:W3"/>
    <mergeCell ref="X3:Y3"/>
    <mergeCell ref="Z3:AA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workbookViewId="0">
      <selection activeCell="I18" sqref="I18"/>
    </sheetView>
  </sheetViews>
  <sheetFormatPr defaultRowHeight="14.25" x14ac:dyDescent="0.45"/>
  <cols>
    <col min="1" max="1" width="13.59765625" style="26" customWidth="1"/>
    <col min="2" max="2" width="8.19921875" style="26" customWidth="1"/>
    <col min="3" max="3" width="7.6640625" style="26" customWidth="1"/>
    <col min="4" max="4" width="7.9296875" style="26" customWidth="1"/>
    <col min="5" max="5" width="9.73046875" style="26" customWidth="1"/>
    <col min="6" max="6" width="7.265625" style="26" customWidth="1"/>
    <col min="7" max="8" width="7.3984375" style="26" customWidth="1"/>
    <col min="9" max="9" width="10.796875" style="26" customWidth="1"/>
    <col min="10" max="10" width="7" style="26" customWidth="1"/>
    <col min="11" max="11" width="6.265625" style="26" customWidth="1"/>
    <col min="12" max="12" width="1.86328125" style="26" customWidth="1"/>
    <col min="13" max="13" width="1.59765625" style="26" customWidth="1"/>
    <col min="14" max="16384" width="9.06640625" style="26"/>
  </cols>
  <sheetData>
    <row r="1" spans="1:20" x14ac:dyDescent="0.45">
      <c r="A1" s="234" t="s">
        <v>83</v>
      </c>
      <c r="B1" s="236" t="s">
        <v>196</v>
      </c>
      <c r="C1" s="236"/>
      <c r="D1" s="236"/>
      <c r="E1" s="236"/>
      <c r="F1" s="236"/>
      <c r="G1" s="236"/>
      <c r="H1" s="97"/>
    </row>
    <row r="2" spans="1:20" x14ac:dyDescent="0.45">
      <c r="A2" s="235"/>
      <c r="B2" s="25">
        <f>Главная!B69</f>
        <v>0</v>
      </c>
      <c r="C2" s="25">
        <f>Главная!C69</f>
        <v>0.3</v>
      </c>
      <c r="D2" s="25">
        <f>Главная!D69</f>
        <v>0.4</v>
      </c>
      <c r="E2" s="25">
        <f>Главная!E69</f>
        <v>0.5</v>
      </c>
      <c r="F2" s="25">
        <f>Главная!F69</f>
        <v>0.7</v>
      </c>
      <c r="G2" s="25">
        <f>Главная!G69</f>
        <v>0.9</v>
      </c>
      <c r="H2" s="25">
        <f>Главная!H69</f>
        <v>0.95</v>
      </c>
    </row>
    <row r="3" spans="1:20" x14ac:dyDescent="0.45">
      <c r="A3" s="234">
        <v>1</v>
      </c>
      <c r="B3" s="24" t="s">
        <v>99</v>
      </c>
      <c r="C3" s="24" t="s">
        <v>100</v>
      </c>
      <c r="D3" s="24" t="s">
        <v>101</v>
      </c>
      <c r="E3" s="24" t="s">
        <v>102</v>
      </c>
      <c r="F3" s="24" t="s">
        <v>103</v>
      </c>
      <c r="G3" s="24" t="s">
        <v>104</v>
      </c>
      <c r="H3" s="96" t="s">
        <v>197</v>
      </c>
      <c r="N3" s="25">
        <f>B2</f>
        <v>0</v>
      </c>
      <c r="O3" s="25">
        <f t="shared" ref="O3:T3" si="0">C2</f>
        <v>0.3</v>
      </c>
      <c r="P3" s="25">
        <f t="shared" si="0"/>
        <v>0.4</v>
      </c>
      <c r="Q3" s="25">
        <f t="shared" si="0"/>
        <v>0.5</v>
      </c>
      <c r="R3" s="25">
        <f t="shared" si="0"/>
        <v>0.7</v>
      </c>
      <c r="S3" s="25">
        <f t="shared" si="0"/>
        <v>0.9</v>
      </c>
      <c r="T3" s="25">
        <f t="shared" si="0"/>
        <v>0.95</v>
      </c>
    </row>
    <row r="4" spans="1:20" x14ac:dyDescent="0.45">
      <c r="A4" s="235"/>
      <c r="B4" s="27">
        <f>(N4*$K$11)/$K$4</f>
        <v>0</v>
      </c>
      <c r="C4" s="27">
        <f t="shared" ref="C4:H4" si="1">(O4*$K$11)/$K$4</f>
        <v>3.3785250514756342</v>
      </c>
      <c r="D4" s="27">
        <f t="shared" si="1"/>
        <v>4.6246396705559372</v>
      </c>
      <c r="E4" s="27">
        <f t="shared" si="1"/>
        <v>5.9999313658201787</v>
      </c>
      <c r="F4" s="27">
        <f t="shared" si="1"/>
        <v>9.5303582704186667</v>
      </c>
      <c r="G4" s="27">
        <f t="shared" si="1"/>
        <v>16.23939121482498</v>
      </c>
      <c r="H4" s="27">
        <f t="shared" si="1"/>
        <v>17.663349347975291</v>
      </c>
      <c r="J4" s="24" t="s">
        <v>81</v>
      </c>
      <c r="K4" s="66">
        <v>8.7420000000000009</v>
      </c>
      <c r="M4" s="29"/>
      <c r="N4" s="61">
        <f>'Дин. х-ка автомобиля с ГТК'!C5</f>
        <v>0</v>
      </c>
      <c r="O4" s="61">
        <f>'Дин. х-ка автомобиля с ГТК'!D5</f>
        <v>114.47699999999999</v>
      </c>
      <c r="P4" s="61">
        <f>'Дин. х-ка автомобиля с ГТК'!E5</f>
        <v>156.70000000000002</v>
      </c>
      <c r="Q4" s="61">
        <f>'Дин. х-ка автомобиля с ГТК'!F5</f>
        <v>203.3</v>
      </c>
      <c r="R4" s="61">
        <f>'Дин. х-ка автомобиля с ГТК'!G5</f>
        <v>322.92399999999998</v>
      </c>
      <c r="S4" s="61">
        <f>'Дин. х-ка автомобиля с ГТК'!H5</f>
        <v>550.25099999999998</v>
      </c>
      <c r="T4" s="61">
        <f>'Дин. х-ка автомобиля с ГТК'!I5</f>
        <v>598.5</v>
      </c>
    </row>
    <row r="5" spans="1:20" x14ac:dyDescent="0.45">
      <c r="A5" s="234">
        <v>2</v>
      </c>
      <c r="B5" s="24" t="s">
        <v>105</v>
      </c>
      <c r="C5" s="24" t="s">
        <v>106</v>
      </c>
      <c r="D5" s="24" t="s">
        <v>107</v>
      </c>
      <c r="E5" s="24" t="s">
        <v>108</v>
      </c>
      <c r="F5" s="24" t="s">
        <v>109</v>
      </c>
      <c r="G5" s="24" t="s">
        <v>110</v>
      </c>
      <c r="H5" s="96" t="s">
        <v>197</v>
      </c>
      <c r="J5" s="24" t="s">
        <v>86</v>
      </c>
      <c r="K5" s="66">
        <v>5</v>
      </c>
      <c r="M5" s="29"/>
    </row>
    <row r="6" spans="1:20" x14ac:dyDescent="0.45">
      <c r="A6" s="235"/>
      <c r="B6" s="27">
        <f>(N4*$K$11)/$K$5</f>
        <v>0</v>
      </c>
      <c r="C6" s="27">
        <f t="shared" ref="C6:H6" si="2">(O4*$K$11)/$K$5</f>
        <v>5.9070131999999997</v>
      </c>
      <c r="D6" s="27">
        <f t="shared" si="2"/>
        <v>8.0857200000000002</v>
      </c>
      <c r="E6" s="27">
        <f t="shared" si="2"/>
        <v>10.490280000000002</v>
      </c>
      <c r="F6" s="27">
        <f t="shared" si="2"/>
        <v>16.6628784</v>
      </c>
      <c r="G6" s="27">
        <f t="shared" si="2"/>
        <v>28.392951599999996</v>
      </c>
      <c r="H6" s="27">
        <f t="shared" si="2"/>
        <v>30.882600000000004</v>
      </c>
      <c r="J6" s="24" t="s">
        <v>88</v>
      </c>
      <c r="K6" s="137">
        <v>3.1339999999999999</v>
      </c>
      <c r="M6" s="29"/>
    </row>
    <row r="7" spans="1:20" x14ac:dyDescent="0.45">
      <c r="A7" s="234">
        <v>3</v>
      </c>
      <c r="B7" s="24" t="s">
        <v>111</v>
      </c>
      <c r="C7" s="24" t="s">
        <v>112</v>
      </c>
      <c r="D7" s="24" t="s">
        <v>113</v>
      </c>
      <c r="E7" s="24" t="s">
        <v>114</v>
      </c>
      <c r="F7" s="24" t="s">
        <v>115</v>
      </c>
      <c r="G7" s="24" t="s">
        <v>116</v>
      </c>
      <c r="H7" s="96" t="s">
        <v>198</v>
      </c>
      <c r="J7" s="30"/>
      <c r="K7" s="31"/>
      <c r="M7" s="29"/>
    </row>
    <row r="8" spans="1:20" x14ac:dyDescent="0.45">
      <c r="A8" s="235"/>
      <c r="B8" s="136">
        <f>(N4*$K$11)/$K$6</f>
        <v>0</v>
      </c>
      <c r="C8" s="136">
        <f t="shared" ref="C8:H8" si="3">(O4*$K$11)/$K$6</f>
        <v>9.4240797702616455</v>
      </c>
      <c r="D8" s="136">
        <f t="shared" si="3"/>
        <v>12.900000000000002</v>
      </c>
      <c r="E8" s="136">
        <f t="shared" si="3"/>
        <v>16.736247606892153</v>
      </c>
      <c r="F8" s="136">
        <f t="shared" si="3"/>
        <v>26.584043395022334</v>
      </c>
      <c r="G8" s="136">
        <f t="shared" si="3"/>
        <v>45.298263560944477</v>
      </c>
      <c r="H8" s="136">
        <f t="shared" si="3"/>
        <v>49.270261646458202</v>
      </c>
      <c r="J8" s="32"/>
      <c r="K8" s="33"/>
      <c r="M8" s="29"/>
    </row>
    <row r="9" spans="1:20" x14ac:dyDescent="0.45">
      <c r="B9" s="30"/>
      <c r="C9" s="30"/>
      <c r="D9" s="30"/>
      <c r="E9" s="30"/>
      <c r="F9" s="30"/>
      <c r="G9" s="30"/>
      <c r="H9" s="97"/>
      <c r="J9" s="32"/>
      <c r="K9" s="33"/>
      <c r="M9" s="29"/>
    </row>
    <row r="10" spans="1:20" x14ac:dyDescent="0.45">
      <c r="B10" s="34"/>
      <c r="C10" s="34"/>
      <c r="D10" s="34"/>
      <c r="E10" s="34"/>
      <c r="F10" s="34"/>
      <c r="G10" s="34"/>
      <c r="H10" s="34"/>
      <c r="J10" s="35"/>
      <c r="K10" s="36"/>
    </row>
    <row r="11" spans="1:20" x14ac:dyDescent="0.45">
      <c r="B11" s="32"/>
      <c r="C11" s="32"/>
      <c r="D11" s="32"/>
      <c r="E11" s="32"/>
      <c r="F11" s="32"/>
      <c r="G11" s="32"/>
      <c r="H11" s="97"/>
      <c r="J11" s="24" t="s">
        <v>117</v>
      </c>
      <c r="K11" s="66">
        <v>0.25800000000000001</v>
      </c>
    </row>
    <row r="12" spans="1:20" x14ac:dyDescent="0.45">
      <c r="B12" s="34"/>
      <c r="C12" s="34"/>
      <c r="D12" s="34"/>
      <c r="E12" s="34"/>
      <c r="F12" s="34"/>
      <c r="G12" s="34"/>
      <c r="H12" s="34"/>
    </row>
    <row r="13" spans="1:20" x14ac:dyDescent="0.45">
      <c r="B13" s="32"/>
      <c r="C13" s="32"/>
      <c r="D13" s="32"/>
      <c r="E13" s="32"/>
      <c r="F13" s="32"/>
      <c r="G13" s="32"/>
      <c r="H13" s="97"/>
    </row>
    <row r="14" spans="1:20" x14ac:dyDescent="0.45">
      <c r="B14" s="34"/>
      <c r="C14" s="34"/>
      <c r="D14" s="34"/>
      <c r="E14" s="34"/>
      <c r="F14" s="34"/>
      <c r="G14" s="34"/>
      <c r="H14" s="34"/>
    </row>
  </sheetData>
  <mergeCells count="5">
    <mergeCell ref="A1:A2"/>
    <mergeCell ref="B1:G1"/>
    <mergeCell ref="A3:A4"/>
    <mergeCell ref="A5:A6"/>
    <mergeCell ref="A7:A8"/>
  </mergeCells>
  <pageMargins left="0.7" right="0.7" top="0.75" bottom="0.75" header="0.3" footer="0.3"/>
  <pageSetup paperSize="9" orientation="landscape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"/>
  <sheetViews>
    <sheetView tabSelected="1" topLeftCell="E1" zoomScale="75" zoomScaleNormal="75" workbookViewId="0">
      <selection activeCell="O6" sqref="O6"/>
    </sheetView>
  </sheetViews>
  <sheetFormatPr defaultRowHeight="14.25" x14ac:dyDescent="0.45"/>
  <cols>
    <col min="1" max="1" width="10.265625" style="26" customWidth="1"/>
    <col min="2" max="2" width="15" style="26" customWidth="1"/>
    <col min="3" max="9" width="9.06640625" style="26"/>
    <col min="10" max="10" width="12" style="26" customWidth="1"/>
    <col min="11" max="12" width="9.06640625" style="26"/>
    <col min="13" max="13" width="2.3984375" style="26" customWidth="1"/>
    <col min="14" max="14" width="5.265625" style="26" customWidth="1"/>
    <col min="15" max="15" width="6.3984375" style="26" customWidth="1"/>
    <col min="16" max="16" width="6.59765625" style="26" customWidth="1"/>
    <col min="17" max="18" width="5.9296875" style="26" customWidth="1"/>
    <col min="19" max="19" width="6" style="26" customWidth="1"/>
    <col min="20" max="20" width="6.59765625" style="26" customWidth="1"/>
    <col min="21" max="22" width="7.86328125" style="26" customWidth="1"/>
    <col min="23" max="23" width="6.86328125" style="26" customWidth="1"/>
    <col min="24" max="24" width="8.265625" style="26" customWidth="1"/>
    <col min="25" max="25" width="7.73046875" style="26" customWidth="1"/>
    <col min="26" max="26" width="7.86328125" style="26" customWidth="1"/>
    <col min="27" max="27" width="7.1328125" style="26" customWidth="1"/>
    <col min="28" max="28" width="8.265625" style="26" customWidth="1"/>
    <col min="29" max="29" width="7.86328125" style="26" customWidth="1"/>
    <col min="30" max="30" width="7.1328125" style="26" customWidth="1"/>
    <col min="31" max="31" width="9.265625" style="26" customWidth="1"/>
    <col min="32" max="16384" width="9.06640625" style="26"/>
  </cols>
  <sheetData>
    <row r="1" spans="1:32" ht="15" customHeight="1" thickBot="1" x14ac:dyDescent="0.5">
      <c r="A1" s="241" t="s">
        <v>83</v>
      </c>
      <c r="B1" s="243" t="s">
        <v>59</v>
      </c>
      <c r="C1" s="237" t="s">
        <v>126</v>
      </c>
      <c r="D1" s="238"/>
      <c r="E1" s="238"/>
      <c r="F1" s="238"/>
      <c r="G1" s="238"/>
      <c r="H1" s="238"/>
      <c r="I1" s="239"/>
      <c r="K1" s="167" t="s">
        <v>147</v>
      </c>
      <c r="L1" s="168">
        <v>0.92</v>
      </c>
      <c r="M1" s="169"/>
      <c r="N1" s="170" t="s">
        <v>148</v>
      </c>
      <c r="O1" s="171">
        <v>9.81</v>
      </c>
      <c r="P1" s="172" t="s">
        <v>149</v>
      </c>
      <c r="Q1" s="33"/>
      <c r="S1" s="54"/>
      <c r="T1" s="30"/>
      <c r="U1" s="55"/>
      <c r="V1" s="55"/>
      <c r="W1" s="55"/>
      <c r="X1" s="55"/>
      <c r="Y1" s="55"/>
      <c r="Z1" s="55"/>
      <c r="AA1" s="55"/>
    </row>
    <row r="2" spans="1:32" ht="43.15" thickBot="1" x14ac:dyDescent="0.5">
      <c r="A2" s="242"/>
      <c r="B2" s="244"/>
      <c r="C2" s="145">
        <f>'Ск-ть ГТК и авто'!N3</f>
        <v>0</v>
      </c>
      <c r="D2" s="145">
        <f>'Ск-ть ГТК и авто'!O3</f>
        <v>0.3</v>
      </c>
      <c r="E2" s="145">
        <f>'Ск-ть ГТК и авто'!P3</f>
        <v>0.4</v>
      </c>
      <c r="F2" s="145">
        <f>'Ск-ть ГТК и авто'!Q3</f>
        <v>0.5</v>
      </c>
      <c r="G2" s="145">
        <f>'Ск-ть ГТК и авто'!R3</f>
        <v>0.7</v>
      </c>
      <c r="H2" s="145">
        <f>'Ск-ть ГТК и авто'!S3</f>
        <v>0.9</v>
      </c>
      <c r="I2" s="152">
        <f>'Ск-ть ГТК и авто'!T3</f>
        <v>0.95</v>
      </c>
      <c r="K2" s="173"/>
      <c r="L2" s="63"/>
      <c r="M2" s="63"/>
      <c r="N2" s="166" t="s">
        <v>150</v>
      </c>
      <c r="O2" s="66">
        <v>0.02</v>
      </c>
      <c r="P2" s="174"/>
      <c r="Q2" s="33" t="s">
        <v>170</v>
      </c>
      <c r="R2" s="56" t="s">
        <v>150</v>
      </c>
      <c r="S2" s="161" t="s">
        <v>83</v>
      </c>
      <c r="T2" s="162" t="s">
        <v>80</v>
      </c>
      <c r="U2" s="163" t="s">
        <v>151</v>
      </c>
      <c r="V2" s="163" t="s">
        <v>152</v>
      </c>
      <c r="W2" s="163" t="s">
        <v>85</v>
      </c>
      <c r="X2" s="163" t="s">
        <v>87</v>
      </c>
      <c r="Y2" s="163" t="s">
        <v>153</v>
      </c>
      <c r="Z2" s="163" t="s">
        <v>154</v>
      </c>
      <c r="AA2" s="163" t="s">
        <v>90</v>
      </c>
      <c r="AB2" s="163" t="s">
        <v>94</v>
      </c>
      <c r="AC2" s="163" t="s">
        <v>95</v>
      </c>
      <c r="AD2" s="163" t="s">
        <v>155</v>
      </c>
      <c r="AE2" s="163" t="s">
        <v>156</v>
      </c>
      <c r="AF2" s="164" t="s">
        <v>157</v>
      </c>
    </row>
    <row r="3" spans="1:32" x14ac:dyDescent="0.45">
      <c r="A3" s="245"/>
      <c r="B3" s="148" t="s">
        <v>80</v>
      </c>
      <c r="C3" s="149">
        <f>Главная!B72</f>
        <v>362.05</v>
      </c>
      <c r="D3" s="149">
        <f>Главная!C72</f>
        <v>381.59</v>
      </c>
      <c r="E3" s="149">
        <f>Главная!D72</f>
        <v>391.75</v>
      </c>
      <c r="F3" s="149">
        <f>Главная!E72</f>
        <v>406.6</v>
      </c>
      <c r="G3" s="149">
        <f>Главная!F72</f>
        <v>461.32</v>
      </c>
      <c r="H3" s="149">
        <f>Главная!G72</f>
        <v>611.39</v>
      </c>
      <c r="I3" s="150">
        <f>Главная!H72</f>
        <v>630</v>
      </c>
      <c r="K3" s="175" t="s">
        <v>117</v>
      </c>
      <c r="L3" s="53">
        <f>'Ск-ть ГТК и авто'!K11</f>
        <v>0.25800000000000001</v>
      </c>
      <c r="M3" s="63"/>
      <c r="N3" s="165" t="s">
        <v>82</v>
      </c>
      <c r="O3" s="61">
        <f>L5/$O$9</f>
        <v>2.50487106017192</v>
      </c>
      <c r="P3" s="174"/>
      <c r="Q3" s="58">
        <f>'Тяговые и разгонные х-ки'!V4</f>
        <v>0.33750000000000002</v>
      </c>
      <c r="R3" s="59">
        <f>$O$2</f>
        <v>0.02</v>
      </c>
      <c r="S3" s="248">
        <v>1</v>
      </c>
      <c r="T3" s="149">
        <f>$C$3</f>
        <v>362.05</v>
      </c>
      <c r="U3" s="153">
        <f>$C$4</f>
        <v>111.4</v>
      </c>
      <c r="V3" s="153">
        <f>Главная!$B$78</f>
        <v>272.93</v>
      </c>
      <c r="W3" s="153">
        <f>C7</f>
        <v>0</v>
      </c>
      <c r="X3" s="153">
        <f>(U3*$L$1*$L$5)/$L$3</f>
        <v>3472.6747906976752</v>
      </c>
      <c r="Y3" s="153">
        <f>$O$2*$L$14</f>
        <v>279.30000000000007</v>
      </c>
      <c r="Z3" s="153">
        <f>$L$12*(W3^2)</f>
        <v>0</v>
      </c>
      <c r="AA3" s="154">
        <f>(X3-Z3)/$L$14</f>
        <v>0.2486698740205997</v>
      </c>
      <c r="AB3" s="142">
        <f>(9.81/$O$10)*(AA3-$O$2)</f>
        <v>1.7376410729621572</v>
      </c>
      <c r="AC3" s="142">
        <f>1/AB3</f>
        <v>0.57549284231368891</v>
      </c>
      <c r="AD3" s="142">
        <f>W3*AC3</f>
        <v>0</v>
      </c>
      <c r="AE3" s="142">
        <f>W3/2*AD3</f>
        <v>0</v>
      </c>
      <c r="AF3" s="155">
        <f>Y3+Z3</f>
        <v>279.30000000000007</v>
      </c>
    </row>
    <row r="4" spans="1:32" x14ac:dyDescent="0.45">
      <c r="A4" s="246"/>
      <c r="B4" s="133" t="s">
        <v>118</v>
      </c>
      <c r="C4" s="42">
        <f>Главная!B71</f>
        <v>111.4</v>
      </c>
      <c r="D4" s="42">
        <f>Главная!C71</f>
        <v>110.91</v>
      </c>
      <c r="E4" s="42">
        <f>Главная!D71</f>
        <v>110.43</v>
      </c>
      <c r="F4" s="42">
        <f>Главная!E71</f>
        <v>109.95</v>
      </c>
      <c r="G4" s="42">
        <f>Главная!F71</f>
        <v>108.51</v>
      </c>
      <c r="H4" s="42">
        <f>Главная!G71</f>
        <v>91.7</v>
      </c>
      <c r="I4" s="151">
        <f>Главная!H71</f>
        <v>59.04</v>
      </c>
      <c r="K4" s="173"/>
      <c r="L4" s="63"/>
      <c r="M4" s="63"/>
      <c r="N4" s="165" t="s">
        <v>91</v>
      </c>
      <c r="O4" s="61">
        <f>L6/$O$9</f>
        <v>1.4326647564469912</v>
      </c>
      <c r="P4" s="174"/>
      <c r="Q4" s="58">
        <f>'Тяговые и разгонные х-ки'!V5</f>
        <v>0.33750000000000002</v>
      </c>
      <c r="R4" s="59">
        <f t="shared" ref="R4:R23" si="0">$O$2</f>
        <v>0.02</v>
      </c>
      <c r="S4" s="249"/>
      <c r="T4" s="42">
        <f>$D$3</f>
        <v>381.59</v>
      </c>
      <c r="U4" s="27">
        <f>$D$4</f>
        <v>110.91</v>
      </c>
      <c r="V4" s="27">
        <f>Главная!$C$78</f>
        <v>210.72899999999998</v>
      </c>
      <c r="W4" s="27">
        <f>D7</f>
        <v>3.3785250514756342</v>
      </c>
      <c r="X4" s="27">
        <f t="shared" ref="X4:X9" si="1">(U4*$L$1*$L$5)/$L$3</f>
        <v>3457.4000093023255</v>
      </c>
      <c r="Y4" s="27">
        <f t="shared" ref="Y4:Y9" si="2">$O$2*$L$14</f>
        <v>279.30000000000007</v>
      </c>
      <c r="Z4" s="27">
        <f t="shared" ref="Z4:Z9" si="3">$L$12*(W4^2)</f>
        <v>4.1584200843863091</v>
      </c>
      <c r="AA4" s="60">
        <f t="shared" ref="AA4:AA9" si="4">(X4-Z4)/$L$14</f>
        <v>0.24727830928878902</v>
      </c>
      <c r="AB4" s="61">
        <f t="shared" ref="AB4:AB9" si="5">(9.81/$O$10)*(AA4-$O$2)</f>
        <v>1.7270667021840371</v>
      </c>
      <c r="AC4" s="61">
        <f t="shared" ref="AC4:AC9" si="6">1/AB4</f>
        <v>0.57901643215945664</v>
      </c>
      <c r="AD4" s="61">
        <f t="shared" ref="AD4:AD9" si="7">W4*AC4</f>
        <v>1.9562215212667664</v>
      </c>
      <c r="AE4" s="61">
        <f t="shared" ref="AE4:AE9" si="8">W4/2*AD4</f>
        <v>3.3045717079177725</v>
      </c>
      <c r="AF4" s="156">
        <f t="shared" ref="AF4:AF9" si="9">Y4+Z4</f>
        <v>283.45842008438638</v>
      </c>
    </row>
    <row r="5" spans="1:32" x14ac:dyDescent="0.45">
      <c r="A5" s="246"/>
      <c r="B5" s="25" t="s">
        <v>158</v>
      </c>
      <c r="C5" s="61">
        <f>Главная!B76</f>
        <v>0</v>
      </c>
      <c r="D5" s="61">
        <f>Главная!C76</f>
        <v>114.47699999999999</v>
      </c>
      <c r="E5" s="61">
        <f>Главная!D76</f>
        <v>156.70000000000002</v>
      </c>
      <c r="F5" s="61">
        <f>Главная!E76</f>
        <v>203.3</v>
      </c>
      <c r="G5" s="61">
        <f>Главная!F76</f>
        <v>322.92399999999998</v>
      </c>
      <c r="H5" s="61">
        <f>Главная!G76</f>
        <v>550.25099999999998</v>
      </c>
      <c r="I5" s="144">
        <f>Главная!H76</f>
        <v>598.5</v>
      </c>
      <c r="K5" s="175" t="s">
        <v>81</v>
      </c>
      <c r="L5" s="53">
        <f>'Ск-ть ГТК и авто'!K4</f>
        <v>8.7420000000000009</v>
      </c>
      <c r="M5" s="63"/>
      <c r="N5" s="165" t="s">
        <v>92</v>
      </c>
      <c r="O5" s="61">
        <f>L7/$O$9</f>
        <v>0.89799426934097415</v>
      </c>
      <c r="P5" s="174"/>
      <c r="Q5" s="58">
        <f>'Тяговые и разгонные х-ки'!V6</f>
        <v>0.33750000000000002</v>
      </c>
      <c r="R5" s="59">
        <f t="shared" si="0"/>
        <v>0.02</v>
      </c>
      <c r="S5" s="249"/>
      <c r="T5" s="42">
        <f>$E$3</f>
        <v>391.75</v>
      </c>
      <c r="U5" s="27">
        <f>$E$4</f>
        <v>110.43</v>
      </c>
      <c r="V5" s="27">
        <f>Главная!$D$78</f>
        <v>188.83530000000002</v>
      </c>
      <c r="W5" s="27">
        <f>E7</f>
        <v>4.6246396705559372</v>
      </c>
      <c r="X5" s="27">
        <f t="shared" si="1"/>
        <v>3442.4369581395354</v>
      </c>
      <c r="Y5" s="27">
        <f t="shared" si="2"/>
        <v>279.30000000000007</v>
      </c>
      <c r="Z5" s="27">
        <f t="shared" si="3"/>
        <v>7.7916578467983966</v>
      </c>
      <c r="AA5" s="60">
        <f t="shared" si="4"/>
        <v>0.24594667384838786</v>
      </c>
      <c r="AB5" s="61">
        <f t="shared" si="5"/>
        <v>1.7169477285091548</v>
      </c>
      <c r="AC5" s="61">
        <f t="shared" si="6"/>
        <v>0.58242891346978354</v>
      </c>
      <c r="AD5" s="61">
        <f t="shared" si="7"/>
        <v>2.6935238585111523</v>
      </c>
      <c r="AE5" s="61">
        <f t="shared" si="8"/>
        <v>6.2282886448297861</v>
      </c>
      <c r="AF5" s="156">
        <f>Y5+Z5</f>
        <v>287.09165784679846</v>
      </c>
    </row>
    <row r="6" spans="1:32" ht="14.65" thickBot="1" x14ac:dyDescent="0.5">
      <c r="A6" s="247"/>
      <c r="B6" s="145" t="s">
        <v>77</v>
      </c>
      <c r="C6" s="146">
        <f>Главная!B73</f>
        <v>2.4500000000000002</v>
      </c>
      <c r="D6" s="146">
        <f>Главная!C73</f>
        <v>1.9</v>
      </c>
      <c r="E6" s="146">
        <f>Главная!D73</f>
        <v>1.71</v>
      </c>
      <c r="F6" s="146">
        <f>Главная!E73</f>
        <v>1.52</v>
      </c>
      <c r="G6" s="146">
        <f>Главная!F73</f>
        <v>1.1100000000000001</v>
      </c>
      <c r="H6" s="146">
        <f>Главная!G73</f>
        <v>1</v>
      </c>
      <c r="I6" s="147">
        <f>Главная!H73</f>
        <v>1</v>
      </c>
      <c r="K6" s="175" t="s">
        <v>86</v>
      </c>
      <c r="L6" s="53">
        <f>'Ск-ть ГТК и авто'!K5</f>
        <v>5</v>
      </c>
      <c r="M6" s="63"/>
      <c r="N6" s="57"/>
      <c r="O6" s="58"/>
      <c r="P6" s="174"/>
      <c r="Q6" s="58">
        <f>'Тяговые и разгонные х-ки'!V7</f>
        <v>0.33750000000000002</v>
      </c>
      <c r="R6" s="59">
        <f t="shared" si="0"/>
        <v>0.02</v>
      </c>
      <c r="S6" s="249"/>
      <c r="T6" s="42">
        <f>$F$3</f>
        <v>406.6</v>
      </c>
      <c r="U6" s="27">
        <f>$F$4</f>
        <v>109.95</v>
      </c>
      <c r="V6" s="27">
        <f>Главная!$E$78</f>
        <v>167.124</v>
      </c>
      <c r="W6" s="27">
        <f>F7</f>
        <v>5.9999313658201787</v>
      </c>
      <c r="X6" s="27">
        <f t="shared" si="1"/>
        <v>3427.4739069767447</v>
      </c>
      <c r="Y6" s="27">
        <f t="shared" si="2"/>
        <v>279.30000000000007</v>
      </c>
      <c r="Z6" s="27">
        <f t="shared" si="3"/>
        <v>13.114949950240517</v>
      </c>
      <c r="AA6" s="60">
        <f t="shared" si="4"/>
        <v>0.24449401768897272</v>
      </c>
      <c r="AB6" s="61">
        <f t="shared" si="5"/>
        <v>1.7059091296631004</v>
      </c>
      <c r="AC6" s="61">
        <f t="shared" si="6"/>
        <v>0.58619769518291387</v>
      </c>
      <c r="AD6" s="61">
        <f t="shared" si="7"/>
        <v>3.5171459378994614</v>
      </c>
      <c r="AE6" s="61">
        <f t="shared" si="8"/>
        <v>10.551317115485004</v>
      </c>
      <c r="AF6" s="156">
        <f t="shared" si="9"/>
        <v>292.41494995024061</v>
      </c>
    </row>
    <row r="7" spans="1:32" x14ac:dyDescent="0.45">
      <c r="A7" s="245">
        <v>1</v>
      </c>
      <c r="B7" s="141" t="s">
        <v>85</v>
      </c>
      <c r="C7" s="142">
        <f>'Ск-ть ГТК и авто'!B4</f>
        <v>0</v>
      </c>
      <c r="D7" s="142">
        <f>'Ск-ть ГТК и авто'!C4</f>
        <v>3.3785250514756342</v>
      </c>
      <c r="E7" s="142">
        <f>'Ск-ть ГТК и авто'!D4</f>
        <v>4.6246396705559372</v>
      </c>
      <c r="F7" s="142">
        <f>'Ск-ть ГТК и авто'!E4</f>
        <v>5.9999313658201787</v>
      </c>
      <c r="G7" s="142">
        <f>'Ск-ть ГТК и авто'!F4</f>
        <v>9.5303582704186667</v>
      </c>
      <c r="H7" s="142">
        <f>'Ск-ть ГТК и авто'!G4</f>
        <v>16.23939121482498</v>
      </c>
      <c r="I7" s="143">
        <f>'Ск-ть ГТК и авто'!H4</f>
        <v>17.663349347975291</v>
      </c>
      <c r="K7" s="175" t="s">
        <v>88</v>
      </c>
      <c r="L7" s="53">
        <f>'Ск-ть ГТК и авто'!K6</f>
        <v>3.1339999999999999</v>
      </c>
      <c r="M7" s="63"/>
      <c r="N7" s="57"/>
      <c r="O7" s="58"/>
      <c r="P7" s="174"/>
      <c r="Q7" s="58">
        <f>'Тяговые и разгонные х-ки'!V8</f>
        <v>0.33750000000000002</v>
      </c>
      <c r="R7" s="59">
        <f t="shared" si="0"/>
        <v>0.02</v>
      </c>
      <c r="S7" s="249"/>
      <c r="T7" s="42">
        <f>$G$3</f>
        <v>461.32</v>
      </c>
      <c r="U7" s="27">
        <f>$G$4</f>
        <v>108.51</v>
      </c>
      <c r="V7" s="27">
        <f>Главная!$F$78</f>
        <v>120.44610000000002</v>
      </c>
      <c r="W7" s="27">
        <f>G7</f>
        <v>9.5303582704186667</v>
      </c>
      <c r="X7" s="27">
        <f t="shared" si="1"/>
        <v>3382.5847534883728</v>
      </c>
      <c r="Y7" s="27">
        <f t="shared" si="2"/>
        <v>279.30000000000007</v>
      </c>
      <c r="Z7" s="27">
        <f t="shared" si="3"/>
        <v>33.089676934801936</v>
      </c>
      <c r="AA7" s="60">
        <f t="shared" si="4"/>
        <v>0.23984927150401508</v>
      </c>
      <c r="AB7" s="61">
        <f t="shared" si="5"/>
        <v>1.6706141360438727</v>
      </c>
      <c r="AC7" s="61">
        <f t="shared" si="6"/>
        <v>0.59858226889428079</v>
      </c>
      <c r="AD7" s="61">
        <f t="shared" si="7"/>
        <v>5.7047034768825791</v>
      </c>
      <c r="AE7" s="61">
        <f t="shared" si="8"/>
        <v>27.183933980597004</v>
      </c>
      <c r="AF7" s="156">
        <f t="shared" si="9"/>
        <v>312.38967693480203</v>
      </c>
    </row>
    <row r="8" spans="1:32" x14ac:dyDescent="0.45">
      <c r="A8" s="246"/>
      <c r="B8" s="133" t="s">
        <v>159</v>
      </c>
      <c r="C8" s="61">
        <f>(C4*$L$5*$L$1)/$L$3</f>
        <v>3472.6747906976752</v>
      </c>
      <c r="D8" s="61">
        <f t="shared" ref="D8:I8" si="10">(D4*$L$5*$L$1)/$L$3</f>
        <v>3457.4000093023255</v>
      </c>
      <c r="E8" s="61">
        <f t="shared" si="10"/>
        <v>3442.4369581395358</v>
      </c>
      <c r="F8" s="61">
        <f t="shared" si="10"/>
        <v>3427.4739069767447</v>
      </c>
      <c r="G8" s="61">
        <f t="shared" si="10"/>
        <v>3382.5847534883728</v>
      </c>
      <c r="H8" s="61">
        <f t="shared" si="10"/>
        <v>2858.5662325581397</v>
      </c>
      <c r="I8" s="144">
        <f t="shared" si="10"/>
        <v>1840.455293023256</v>
      </c>
      <c r="K8" s="176"/>
      <c r="L8" s="62"/>
      <c r="M8" s="63"/>
      <c r="N8" s="57"/>
      <c r="O8" s="58"/>
      <c r="P8" s="174"/>
      <c r="Q8" s="58">
        <f>'Тяговые и разгонные х-ки'!V9</f>
        <v>0.33750000000000002</v>
      </c>
      <c r="R8" s="59">
        <f t="shared" si="0"/>
        <v>0.02</v>
      </c>
      <c r="S8" s="249"/>
      <c r="T8" s="42">
        <f>$H$3</f>
        <v>611.39</v>
      </c>
      <c r="U8" s="27">
        <f>$H$4</f>
        <v>91.7</v>
      </c>
      <c r="V8" s="27">
        <f>Главная!$G$78</f>
        <v>91.7</v>
      </c>
      <c r="W8" s="27">
        <f>H7</f>
        <v>16.23939121482498</v>
      </c>
      <c r="X8" s="27">
        <f t="shared" si="1"/>
        <v>2858.5662325581397</v>
      </c>
      <c r="Y8" s="27">
        <f t="shared" si="2"/>
        <v>279.30000000000007</v>
      </c>
      <c r="Z8" s="27">
        <f t="shared" si="3"/>
        <v>96.07570085918735</v>
      </c>
      <c r="AA8" s="60">
        <f t="shared" si="4"/>
        <v>0.19781529049043697</v>
      </c>
      <c r="AB8" s="61">
        <f t="shared" si="5"/>
        <v>1.3512018296255597</v>
      </c>
      <c r="AC8" s="61">
        <f t="shared" si="6"/>
        <v>0.74008188715753631</v>
      </c>
      <c r="AD8" s="61">
        <f t="shared" si="7"/>
        <v>12.018479296557187</v>
      </c>
      <c r="AE8" s="61">
        <f t="shared" si="8"/>
        <v>97.586393552033343</v>
      </c>
      <c r="AF8" s="156">
        <f t="shared" si="9"/>
        <v>375.37570085918742</v>
      </c>
    </row>
    <row r="9" spans="1:32" ht="14.65" thickBot="1" x14ac:dyDescent="0.5">
      <c r="A9" s="246"/>
      <c r="B9" s="133" t="s">
        <v>154</v>
      </c>
      <c r="C9" s="61">
        <f>$L$12*(C7^2)</f>
        <v>0</v>
      </c>
      <c r="D9" s="61">
        <f t="shared" ref="D9:H9" si="11">$L$12*(D7^2)</f>
        <v>4.1584200843863091</v>
      </c>
      <c r="E9" s="61">
        <f t="shared" si="11"/>
        <v>7.7916578467983966</v>
      </c>
      <c r="F9" s="61">
        <f t="shared" si="11"/>
        <v>13.114949950240517</v>
      </c>
      <c r="G9" s="61">
        <f t="shared" si="11"/>
        <v>33.089676934801936</v>
      </c>
      <c r="H9" s="61">
        <f t="shared" si="11"/>
        <v>96.07570085918735</v>
      </c>
      <c r="I9" s="144">
        <f>$L$12*(I7^2)</f>
        <v>113.66328140559133</v>
      </c>
      <c r="K9" s="173"/>
      <c r="L9" s="63"/>
      <c r="M9" s="63"/>
      <c r="N9" s="165" t="s">
        <v>79</v>
      </c>
      <c r="O9" s="66">
        <v>3.49</v>
      </c>
      <c r="P9" s="174"/>
      <c r="Q9" s="58">
        <f>'Тяговые и разгонные х-ки'!V10</f>
        <v>0.33750000000000002</v>
      </c>
      <c r="R9" s="59">
        <f t="shared" si="0"/>
        <v>0.02</v>
      </c>
      <c r="S9" s="250"/>
      <c r="T9" s="157">
        <f>$I$3</f>
        <v>630</v>
      </c>
      <c r="U9" s="158">
        <f>$I$4</f>
        <v>59.04</v>
      </c>
      <c r="V9" s="158">
        <f>Главная!$H$78</f>
        <v>59.04</v>
      </c>
      <c r="W9" s="158">
        <f>I7</f>
        <v>17.663349347975291</v>
      </c>
      <c r="X9" s="158">
        <f t="shared" si="1"/>
        <v>1840.455293023256</v>
      </c>
      <c r="Y9" s="158">
        <f t="shared" si="2"/>
        <v>279.30000000000007</v>
      </c>
      <c r="Z9" s="158">
        <f t="shared" si="3"/>
        <v>113.66328140559133</v>
      </c>
      <c r="AA9" s="159">
        <f t="shared" si="4"/>
        <v>0.12365141508182345</v>
      </c>
      <c r="AB9" s="146">
        <f t="shared" si="5"/>
        <v>0.78763744847561556</v>
      </c>
      <c r="AC9" s="146">
        <f t="shared" si="6"/>
        <v>1.2696196732841849</v>
      </c>
      <c r="AD9" s="146">
        <f t="shared" si="7"/>
        <v>22.425735828280811</v>
      </c>
      <c r="AE9" s="146">
        <f t="shared" si="8"/>
        <v>198.056803160165</v>
      </c>
      <c r="AF9" s="160">
        <f t="shared" si="9"/>
        <v>392.96328140559137</v>
      </c>
    </row>
    <row r="10" spans="1:32" ht="14.65" thickBot="1" x14ac:dyDescent="0.5">
      <c r="A10" s="247"/>
      <c r="B10" s="145" t="s">
        <v>160</v>
      </c>
      <c r="C10" s="146">
        <f>(C8-C9)/$L$14</f>
        <v>0.2486698740205997</v>
      </c>
      <c r="D10" s="146">
        <f t="shared" ref="D10:I10" si="12">(D8-D9)/$L$14</f>
        <v>0.24727830928878902</v>
      </c>
      <c r="E10" s="146">
        <f t="shared" si="12"/>
        <v>0.24594667384838789</v>
      </c>
      <c r="F10" s="146">
        <f t="shared" si="12"/>
        <v>0.24449401768897272</v>
      </c>
      <c r="G10" s="146">
        <f t="shared" si="12"/>
        <v>0.23984927150401508</v>
      </c>
      <c r="H10" s="146">
        <f t="shared" si="12"/>
        <v>0.19781529049043697</v>
      </c>
      <c r="I10" s="147">
        <f t="shared" si="12"/>
        <v>0.12365141508182345</v>
      </c>
      <c r="K10" s="173"/>
      <c r="L10" s="63"/>
      <c r="M10" s="63"/>
      <c r="N10" s="166" t="s">
        <v>161</v>
      </c>
      <c r="O10" s="61">
        <f>1.04+0.04*(O3^2)</f>
        <v>1.2909751611234719</v>
      </c>
      <c r="P10" s="174"/>
      <c r="Q10" s="58">
        <f>'Тяговые и разгонные х-ки'!V11</f>
        <v>0.33750000000000002</v>
      </c>
      <c r="R10" s="59">
        <f t="shared" si="0"/>
        <v>0.02</v>
      </c>
      <c r="S10" s="248">
        <v>2</v>
      </c>
      <c r="T10" s="149">
        <f>$C$3</f>
        <v>362.05</v>
      </c>
      <c r="U10" s="153">
        <f>$C$4</f>
        <v>111.4</v>
      </c>
      <c r="V10" s="153">
        <f>Главная!$B$78</f>
        <v>272.93</v>
      </c>
      <c r="W10" s="153">
        <f>C11</f>
        <v>0</v>
      </c>
      <c r="X10" s="153">
        <f>(U10*$L$1*$L$6)/$L$3</f>
        <v>1986.2015503875971</v>
      </c>
      <c r="Y10" s="153">
        <f>$O$2*$L$14</f>
        <v>279.30000000000007</v>
      </c>
      <c r="Z10" s="153">
        <f>$L$12*(W10^2)</f>
        <v>0</v>
      </c>
      <c r="AA10" s="154">
        <f>(X10-Z10)/$L$14</f>
        <v>0.14222710708110253</v>
      </c>
      <c r="AB10" s="142">
        <f>(9.81/$O$11)*(AA10-$O$2)</f>
        <v>1.0685738442682806</v>
      </c>
      <c r="AC10" s="142">
        <f t="shared" ref="AC10:AC16" si="13">1/AB10</f>
        <v>0.93582676140156007</v>
      </c>
      <c r="AD10" s="142">
        <f>W10+AVERAGE(AC10,AC3)</f>
        <v>0.75565980185762449</v>
      </c>
      <c r="AE10" s="142">
        <f>W10/2*AD10</f>
        <v>0</v>
      </c>
      <c r="AF10" s="155">
        <f t="shared" ref="AF10:AF16" si="14">Y10+Z10</f>
        <v>279.30000000000007</v>
      </c>
    </row>
    <row r="11" spans="1:32" x14ac:dyDescent="0.45">
      <c r="A11" s="245">
        <v>2</v>
      </c>
      <c r="B11" s="141" t="s">
        <v>85</v>
      </c>
      <c r="C11" s="142">
        <f>'Ск-ть ГТК и авто'!B6</f>
        <v>0</v>
      </c>
      <c r="D11" s="142">
        <f>'Ск-ть ГТК и авто'!C6</f>
        <v>5.9070131999999997</v>
      </c>
      <c r="E11" s="142">
        <f>'Ск-ть ГТК и авто'!D6</f>
        <v>8.0857200000000002</v>
      </c>
      <c r="F11" s="142">
        <f>'Ск-ть ГТК и авто'!E6</f>
        <v>10.490280000000002</v>
      </c>
      <c r="G11" s="142">
        <f>'Ск-ть ГТК и авто'!F6</f>
        <v>16.6628784</v>
      </c>
      <c r="H11" s="142">
        <f>'Ск-ть ГТК и авто'!G6</f>
        <v>28.392951599999996</v>
      </c>
      <c r="I11" s="143">
        <f>'Ск-ть ГТК и авто'!H6</f>
        <v>30.882600000000004</v>
      </c>
      <c r="K11" s="173"/>
      <c r="L11" s="63"/>
      <c r="M11" s="63"/>
      <c r="N11" s="166" t="s">
        <v>162</v>
      </c>
      <c r="O11" s="61">
        <f t="shared" ref="O11" si="15">1.04+0.04*(O4^2)</f>
        <v>1.1221011321746126</v>
      </c>
      <c r="P11" s="174"/>
      <c r="Q11" s="58">
        <f>'Тяговые и разгонные х-ки'!V12</f>
        <v>0.33750000000000002</v>
      </c>
      <c r="R11" s="59">
        <f t="shared" si="0"/>
        <v>0.02</v>
      </c>
      <c r="S11" s="249"/>
      <c r="T11" s="42">
        <f>$D$3</f>
        <v>381.59</v>
      </c>
      <c r="U11" s="27">
        <f>$D$4</f>
        <v>110.91</v>
      </c>
      <c r="V11" s="27">
        <f>Главная!$C$78</f>
        <v>210.72899999999998</v>
      </c>
      <c r="W11" s="27">
        <f>D11</f>
        <v>5.9070131999999997</v>
      </c>
      <c r="X11" s="27">
        <f t="shared" ref="X11:X16" si="16">(U11*$L$1*$L$6)/$L$3</f>
        <v>1977.4651162790697</v>
      </c>
      <c r="Y11" s="27">
        <f t="shared" ref="Y11:Y23" si="17">$O$2*$L$14</f>
        <v>279.30000000000007</v>
      </c>
      <c r="Z11" s="27">
        <f t="shared" ref="Z11:Z16" si="18">$L$12*(W11^2)</f>
        <v>12.711885001515927</v>
      </c>
      <c r="AA11" s="60">
        <f t="shared" ref="AA11:AA16" si="19">(X11-Z11)/$L$14</f>
        <v>0.14069124463140376</v>
      </c>
      <c r="AB11" s="61">
        <f t="shared" ref="AB11:AB16" si="20">(9.81/$O$11)*(AA11-$O$2)</f>
        <v>1.0551465245735345</v>
      </c>
      <c r="AC11" s="61">
        <f t="shared" si="13"/>
        <v>0.94773567150228399</v>
      </c>
      <c r="AD11" s="61">
        <f t="shared" ref="AD11:AD16" si="21">W11+AVERAGE(AC11,AC4)</f>
        <v>6.6703892518308701</v>
      </c>
      <c r="AE11" s="61">
        <f t="shared" ref="AE11:AE16" si="22">W11/2*AD11</f>
        <v>19.701038679851536</v>
      </c>
      <c r="AF11" s="156">
        <f t="shared" si="14"/>
        <v>292.01188500151602</v>
      </c>
    </row>
    <row r="12" spans="1:32" x14ac:dyDescent="0.45">
      <c r="A12" s="246"/>
      <c r="B12" s="133" t="s">
        <v>159</v>
      </c>
      <c r="C12" s="61">
        <f>(C4*$L$6*$L$1)/$L$3</f>
        <v>1986.2015503875971</v>
      </c>
      <c r="D12" s="61">
        <f t="shared" ref="D12:I12" si="23">(D4*$L$6*$L$1)/$L$3</f>
        <v>1977.4651162790697</v>
      </c>
      <c r="E12" s="61">
        <f t="shared" si="23"/>
        <v>1968.9069767441865</v>
      </c>
      <c r="F12" s="61">
        <f t="shared" si="23"/>
        <v>1960.3488372093025</v>
      </c>
      <c r="G12" s="61">
        <f t="shared" si="23"/>
        <v>1934.6744186046515</v>
      </c>
      <c r="H12" s="61">
        <f t="shared" si="23"/>
        <v>1634.9612403100775</v>
      </c>
      <c r="I12" s="144">
        <f t="shared" si="23"/>
        <v>1052.6511627906978</v>
      </c>
      <c r="K12" s="175" t="s">
        <v>163</v>
      </c>
      <c r="L12" s="89">
        <f>0.15*1.25*1.943</f>
        <v>0.36431250000000004</v>
      </c>
      <c r="M12" s="63"/>
      <c r="N12" s="166" t="s">
        <v>164</v>
      </c>
      <c r="O12" s="61">
        <f>1.04+0.04*(O5^2)</f>
        <v>1.0722557483107693</v>
      </c>
      <c r="P12" s="174"/>
      <c r="Q12" s="58">
        <f>'Тяговые и разгонные х-ки'!V13</f>
        <v>0.33750000000000002</v>
      </c>
      <c r="R12" s="59">
        <f t="shared" si="0"/>
        <v>0.02</v>
      </c>
      <c r="S12" s="249"/>
      <c r="T12" s="42">
        <f>$E$3</f>
        <v>391.75</v>
      </c>
      <c r="U12" s="27">
        <f>$E$4</f>
        <v>110.43</v>
      </c>
      <c r="V12" s="27">
        <f>Главная!$D$78</f>
        <v>188.83530000000002</v>
      </c>
      <c r="W12" s="27">
        <f>E11</f>
        <v>8.0857200000000002</v>
      </c>
      <c r="X12" s="27">
        <f t="shared" si="16"/>
        <v>1968.9069767441861</v>
      </c>
      <c r="Y12" s="27">
        <f t="shared" si="17"/>
        <v>279.30000000000007</v>
      </c>
      <c r="Z12" s="27">
        <f t="shared" si="18"/>
        <v>23.818338818522104</v>
      </c>
      <c r="AA12" s="60">
        <f t="shared" si="19"/>
        <v>0.13928311048518896</v>
      </c>
      <c r="AB12" s="61">
        <f t="shared" si="20"/>
        <v>1.0428358730838634</v>
      </c>
      <c r="AC12" s="61">
        <f t="shared" si="13"/>
        <v>0.95892366748260238</v>
      </c>
      <c r="AD12" s="61">
        <f t="shared" si="21"/>
        <v>8.8563962904761926</v>
      </c>
      <c r="AE12" s="61">
        <f t="shared" si="22"/>
        <v>35.805170306914583</v>
      </c>
      <c r="AF12" s="156">
        <f t="shared" si="14"/>
        <v>303.11833881852215</v>
      </c>
    </row>
    <row r="13" spans="1:32" x14ac:dyDescent="0.45">
      <c r="A13" s="246"/>
      <c r="B13" s="133" t="s">
        <v>154</v>
      </c>
      <c r="C13" s="61">
        <f>$L$12*(C11^2)</f>
        <v>0</v>
      </c>
      <c r="D13" s="61">
        <f t="shared" ref="D13:I13" si="24">$L$12*(D11^2)</f>
        <v>12.711885001515927</v>
      </c>
      <c r="E13" s="61">
        <f t="shared" si="24"/>
        <v>23.818338818522104</v>
      </c>
      <c r="F13" s="61">
        <f t="shared" si="24"/>
        <v>40.091124077162121</v>
      </c>
      <c r="G13" s="61">
        <f t="shared" si="24"/>
        <v>101.15191813156905</v>
      </c>
      <c r="H13" s="61">
        <f t="shared" si="24"/>
        <v>293.69405591024406</v>
      </c>
      <c r="I13" s="144">
        <f t="shared" si="24"/>
        <v>347.4575759067526</v>
      </c>
      <c r="K13" s="173"/>
      <c r="L13" s="63"/>
      <c r="M13" s="63"/>
      <c r="N13" s="64"/>
      <c r="O13" s="55"/>
      <c r="P13" s="177"/>
      <c r="Q13" s="58">
        <f>'Тяговые и разгонные х-ки'!V14</f>
        <v>0.33750000000000002</v>
      </c>
      <c r="R13" s="59">
        <f t="shared" si="0"/>
        <v>0.02</v>
      </c>
      <c r="S13" s="249"/>
      <c r="T13" s="42">
        <f>$F$3</f>
        <v>406.6</v>
      </c>
      <c r="U13" s="27">
        <f>$F$4</f>
        <v>109.95</v>
      </c>
      <c r="V13" s="27">
        <f>Главная!$E$78</f>
        <v>167.124</v>
      </c>
      <c r="W13" s="27">
        <f>F11</f>
        <v>10.490280000000002</v>
      </c>
      <c r="X13" s="27">
        <f t="shared" si="16"/>
        <v>1960.3488372093025</v>
      </c>
      <c r="Y13" s="27">
        <f t="shared" si="17"/>
        <v>279.30000000000007</v>
      </c>
      <c r="Z13" s="27">
        <f t="shared" si="18"/>
        <v>40.091124077162121</v>
      </c>
      <c r="AA13" s="60">
        <f t="shared" si="19"/>
        <v>0.13750502779320731</v>
      </c>
      <c r="AB13" s="61">
        <f t="shared" si="20"/>
        <v>1.0272909362611584</v>
      </c>
      <c r="AC13" s="61">
        <f t="shared" si="13"/>
        <v>0.97343407276571114</v>
      </c>
      <c r="AD13" s="61">
        <f t="shared" si="21"/>
        <v>11.270095883974314</v>
      </c>
      <c r="AE13" s="61">
        <f t="shared" si="22"/>
        <v>59.113230724869041</v>
      </c>
      <c r="AF13" s="156">
        <f t="shared" si="14"/>
        <v>319.3911240771622</v>
      </c>
    </row>
    <row r="14" spans="1:32" ht="14.65" thickBot="1" x14ac:dyDescent="0.5">
      <c r="A14" s="247"/>
      <c r="B14" s="145" t="s">
        <v>165</v>
      </c>
      <c r="C14" s="146">
        <f>(C12-C13)/$L$14</f>
        <v>0.14222710708110253</v>
      </c>
      <c r="D14" s="146">
        <f t="shared" ref="D14:I14" si="25">(D12-D13)/$L$14</f>
        <v>0.14069124463140376</v>
      </c>
      <c r="E14" s="146">
        <f t="shared" si="25"/>
        <v>0.13928311048518899</v>
      </c>
      <c r="F14" s="146">
        <f t="shared" si="25"/>
        <v>0.13750502779320731</v>
      </c>
      <c r="G14" s="146">
        <f t="shared" si="25"/>
        <v>0.13129412821146311</v>
      </c>
      <c r="H14" s="146">
        <f t="shared" si="25"/>
        <v>9.6044911163611413E-2</v>
      </c>
      <c r="I14" s="147">
        <f t="shared" si="25"/>
        <v>5.0497213525524172E-2</v>
      </c>
      <c r="K14" s="178" t="s">
        <v>166</v>
      </c>
      <c r="L14" s="179">
        <f>9.8*1425</f>
        <v>13965.000000000002</v>
      </c>
      <c r="M14" s="180"/>
      <c r="N14" s="181"/>
      <c r="O14" s="182"/>
      <c r="P14" s="183"/>
      <c r="Q14" s="58">
        <f>'Тяговые и разгонные х-ки'!V15</f>
        <v>0.33750000000000002</v>
      </c>
      <c r="R14" s="59">
        <f t="shared" si="0"/>
        <v>0.02</v>
      </c>
      <c r="S14" s="249"/>
      <c r="T14" s="42">
        <f>$G$3</f>
        <v>461.32</v>
      </c>
      <c r="U14" s="27">
        <f>$G$4</f>
        <v>108.51</v>
      </c>
      <c r="V14" s="27">
        <f>Главная!$F$78</f>
        <v>120.44610000000002</v>
      </c>
      <c r="W14" s="27">
        <f>G11</f>
        <v>16.6628784</v>
      </c>
      <c r="X14" s="27">
        <f t="shared" si="16"/>
        <v>1934.6744186046515</v>
      </c>
      <c r="Y14" s="27">
        <f t="shared" si="17"/>
        <v>279.30000000000007</v>
      </c>
      <c r="Z14" s="27">
        <f t="shared" si="18"/>
        <v>101.15191813156905</v>
      </c>
      <c r="AA14" s="60">
        <f t="shared" si="19"/>
        <v>0.13129412821146311</v>
      </c>
      <c r="AB14" s="61">
        <f t="shared" si="20"/>
        <v>0.97299197590022257</v>
      </c>
      <c r="AC14" s="61">
        <f t="shared" si="13"/>
        <v>1.0277577048616349</v>
      </c>
      <c r="AD14" s="61">
        <f t="shared" si="21"/>
        <v>17.476048386877959</v>
      </c>
      <c r="AE14" s="61">
        <f t="shared" si="22"/>
        <v>145.60063459153179</v>
      </c>
      <c r="AF14" s="156">
        <f t="shared" si="14"/>
        <v>380.45191813156913</v>
      </c>
    </row>
    <row r="15" spans="1:32" x14ac:dyDescent="0.45">
      <c r="A15" s="245">
        <v>3</v>
      </c>
      <c r="B15" s="141" t="s">
        <v>85</v>
      </c>
      <c r="C15" s="142">
        <f>'Ск-ть ГТК и авто'!B8</f>
        <v>0</v>
      </c>
      <c r="D15" s="142">
        <f>'Ск-ть ГТК и авто'!C8</f>
        <v>9.4240797702616455</v>
      </c>
      <c r="E15" s="142">
        <f>'Ск-ть ГТК и авто'!D8</f>
        <v>12.900000000000002</v>
      </c>
      <c r="F15" s="142">
        <f>'Ск-ть ГТК и авто'!E8</f>
        <v>16.736247606892153</v>
      </c>
      <c r="G15" s="142">
        <f>'Ск-ть ГТК и авто'!F8</f>
        <v>26.584043395022334</v>
      </c>
      <c r="H15" s="142">
        <f>'Ск-ть ГТК и авто'!G8</f>
        <v>45.298263560944477</v>
      </c>
      <c r="I15" s="143">
        <f>'Ск-ть ГТК и авто'!H8</f>
        <v>49.270261646458202</v>
      </c>
      <c r="N15" s="65"/>
      <c r="O15" s="58"/>
      <c r="P15" s="33"/>
      <c r="Q15" s="58">
        <f>'Тяговые и разгонные х-ки'!V16</f>
        <v>0.33750000000000002</v>
      </c>
      <c r="R15" s="59">
        <f t="shared" si="0"/>
        <v>0.02</v>
      </c>
      <c r="S15" s="249"/>
      <c r="T15" s="42">
        <f>$H$3</f>
        <v>611.39</v>
      </c>
      <c r="U15" s="27">
        <f>$H$4</f>
        <v>91.7</v>
      </c>
      <c r="V15" s="27">
        <f>Главная!$G$78</f>
        <v>91.7</v>
      </c>
      <c r="W15" s="27">
        <f>H11</f>
        <v>28.392951599999996</v>
      </c>
      <c r="X15" s="27">
        <f t="shared" si="16"/>
        <v>1634.9612403100778</v>
      </c>
      <c r="Y15" s="27">
        <f t="shared" si="17"/>
        <v>279.30000000000007</v>
      </c>
      <c r="Z15" s="27">
        <f t="shared" si="18"/>
        <v>293.69405591024406</v>
      </c>
      <c r="AA15" s="60">
        <f t="shared" si="19"/>
        <v>9.6044911163611427E-2</v>
      </c>
      <c r="AB15" s="61">
        <f>(9.81/$O$11)*(AA15-$O$2)</f>
        <v>0.66482472668866477</v>
      </c>
      <c r="AC15" s="61">
        <f>1/AB15</f>
        <v>1.504155847182105</v>
      </c>
      <c r="AD15" s="61">
        <f t="shared" si="21"/>
        <v>29.515070467169817</v>
      </c>
      <c r="AE15" s="61">
        <f>W15/2*AD15</f>
        <v>419.00998362247094</v>
      </c>
      <c r="AF15" s="156">
        <f t="shared" si="14"/>
        <v>572.99405591024413</v>
      </c>
    </row>
    <row r="16" spans="1:32" ht="14.65" thickBot="1" x14ac:dyDescent="0.5">
      <c r="A16" s="246"/>
      <c r="B16" s="133" t="s">
        <v>159</v>
      </c>
      <c r="C16" s="61">
        <f>(C4*$L$7*$L$1)/$L$3</f>
        <v>1244.9511317829458</v>
      </c>
      <c r="D16" s="61">
        <f t="shared" ref="D16:I16" si="26">(D4*$L$7*$L$1)/$L$3</f>
        <v>1239.475134883721</v>
      </c>
      <c r="E16" s="61">
        <f t="shared" si="26"/>
        <v>1234.1108930232558</v>
      </c>
      <c r="F16" s="61">
        <f t="shared" si="26"/>
        <v>1228.7466511627906</v>
      </c>
      <c r="G16" s="61">
        <f t="shared" si="26"/>
        <v>1212.6539255813952</v>
      </c>
      <c r="H16" s="61">
        <f t="shared" si="26"/>
        <v>1024.7937054263568</v>
      </c>
      <c r="I16" s="61">
        <f t="shared" si="26"/>
        <v>659.80174883720917</v>
      </c>
      <c r="Q16" s="58">
        <f>'Тяговые и разгонные х-ки'!V17</f>
        <v>0.33750000000000002</v>
      </c>
      <c r="R16" s="59">
        <f t="shared" si="0"/>
        <v>0.02</v>
      </c>
      <c r="S16" s="251"/>
      <c r="T16" s="190">
        <f>$I$3</f>
        <v>630</v>
      </c>
      <c r="U16" s="191">
        <f>$I$4</f>
        <v>59.04</v>
      </c>
      <c r="V16" s="191">
        <f>Главная!$H$78</f>
        <v>59.04</v>
      </c>
      <c r="W16" s="191">
        <f>I11</f>
        <v>30.882600000000004</v>
      </c>
      <c r="X16" s="191">
        <f t="shared" si="16"/>
        <v>1052.6511627906978</v>
      </c>
      <c r="Y16" s="191">
        <f t="shared" si="17"/>
        <v>279.30000000000007</v>
      </c>
      <c r="Z16" s="191">
        <f t="shared" si="18"/>
        <v>347.4575759067526</v>
      </c>
      <c r="AA16" s="192">
        <f t="shared" si="19"/>
        <v>5.0497213525524172E-2</v>
      </c>
      <c r="AB16" s="140">
        <f t="shared" si="20"/>
        <v>0.26662272776215007</v>
      </c>
      <c r="AC16" s="140">
        <f t="shared" si="13"/>
        <v>3.7506179926719683</v>
      </c>
      <c r="AD16" s="140">
        <f t="shared" si="21"/>
        <v>33.392718832978083</v>
      </c>
      <c r="AE16" s="140">
        <f t="shared" si="22"/>
        <v>515.62698931566456</v>
      </c>
      <c r="AF16" s="197">
        <f t="shared" si="14"/>
        <v>626.75757590675266</v>
      </c>
    </row>
    <row r="17" spans="1:32" x14ac:dyDescent="0.45">
      <c r="A17" s="246"/>
      <c r="B17" s="133" t="s">
        <v>154</v>
      </c>
      <c r="C17" s="61">
        <f>$L$12*(C15^2)</f>
        <v>0</v>
      </c>
      <c r="D17" s="61">
        <f t="shared" ref="D17:I17" si="27">$L$12*(D15^2)</f>
        <v>32.35578789376558</v>
      </c>
      <c r="E17" s="61">
        <f t="shared" si="27"/>
        <v>60.625243125000026</v>
      </c>
      <c r="F17" s="61">
        <f t="shared" si="27"/>
        <v>102.04465403113727</v>
      </c>
      <c r="G17" s="61">
        <f t="shared" si="27"/>
        <v>257.46378351615766</v>
      </c>
      <c r="H17" s="61">
        <f t="shared" si="27"/>
        <v>747.54472507880325</v>
      </c>
      <c r="I17" s="144">
        <f t="shared" si="27"/>
        <v>884.38997259495102</v>
      </c>
      <c r="Q17" s="58">
        <f>'Тяговые и разгонные х-ки'!V18</f>
        <v>0.33750000000000002</v>
      </c>
      <c r="R17" s="59">
        <f t="shared" si="0"/>
        <v>0.02</v>
      </c>
      <c r="S17" s="252">
        <v>3</v>
      </c>
      <c r="T17" s="149">
        <f>$C$3</f>
        <v>362.05</v>
      </c>
      <c r="U17" s="153">
        <f>$C$4</f>
        <v>111.4</v>
      </c>
      <c r="V17" s="153">
        <f>Главная!$B$78</f>
        <v>272.93</v>
      </c>
      <c r="W17" s="153">
        <f>C15</f>
        <v>0</v>
      </c>
      <c r="X17" s="195">
        <f>(U17*$L$1*$L$7)/$L$3</f>
        <v>1244.9511317829458</v>
      </c>
      <c r="Y17" s="153">
        <f>$O$2*$L$14</f>
        <v>279.30000000000007</v>
      </c>
      <c r="Z17" s="153">
        <f>$L$12*(W17^2)</f>
        <v>0</v>
      </c>
      <c r="AA17" s="154">
        <f>(X17-Z17)/$L$14</f>
        <v>8.9147950718435065E-2</v>
      </c>
      <c r="AB17" s="142">
        <f>(9.81/$O$11)*(AA17-$O$2)</f>
        <v>0.60452786036605632</v>
      </c>
      <c r="AC17" s="142">
        <f>1/AB17</f>
        <v>1.6541834803022573</v>
      </c>
      <c r="AD17" s="142">
        <f>W17+AVERAGE(AC17,AC10)</f>
        <v>1.2950051208519087</v>
      </c>
      <c r="AE17" s="142">
        <f>W17/2*AD17</f>
        <v>0</v>
      </c>
      <c r="AF17" s="155">
        <f t="shared" ref="AF17:AF23" si="28">Y17+Z17</f>
        <v>279.30000000000007</v>
      </c>
    </row>
    <row r="18" spans="1:32" ht="14.65" thickBot="1" x14ac:dyDescent="0.5">
      <c r="A18" s="247"/>
      <c r="B18" s="145" t="s">
        <v>167</v>
      </c>
      <c r="C18" s="146">
        <f>(C16-C17)/$L$14</f>
        <v>8.9147950718435065E-2</v>
      </c>
      <c r="D18" s="146">
        <f t="shared" ref="D18:I18" si="29">(D16-D17)/$L$14</f>
        <v>8.6438907768704276E-2</v>
      </c>
      <c r="E18" s="146">
        <f t="shared" si="29"/>
        <v>8.4030479763570046E-2</v>
      </c>
      <c r="F18" s="146">
        <f t="shared" si="29"/>
        <v>8.0680415118628945E-2</v>
      </c>
      <c r="G18" s="146">
        <f t="shared" si="29"/>
        <v>6.8398864451502853E-2</v>
      </c>
      <c r="H18" s="146">
        <f t="shared" si="29"/>
        <v>1.9853131424815866E-2</v>
      </c>
      <c r="I18" s="146">
        <f t="shared" si="29"/>
        <v>-1.6082221536537187E-2</v>
      </c>
      <c r="Q18" s="58">
        <f>'Тяговые и разгонные х-ки'!V19</f>
        <v>0.33750000000000002</v>
      </c>
      <c r="R18" s="59">
        <f t="shared" si="0"/>
        <v>0.02</v>
      </c>
      <c r="S18" s="253"/>
      <c r="T18" s="42">
        <f>$D$3</f>
        <v>381.59</v>
      </c>
      <c r="U18" s="27">
        <f>$D$4</f>
        <v>110.91</v>
      </c>
      <c r="V18" s="27">
        <f>Главная!$C$78</f>
        <v>210.72899999999998</v>
      </c>
      <c r="W18" s="27">
        <f>D15</f>
        <v>9.4240797702616455</v>
      </c>
      <c r="X18" s="196">
        <f t="shared" ref="X18:X23" si="30">(U18*$L$1*$L$7)/$L$3</f>
        <v>1239.475134883721</v>
      </c>
      <c r="Y18" s="27">
        <f t="shared" si="17"/>
        <v>279.30000000000007</v>
      </c>
      <c r="Z18" s="27">
        <f t="shared" ref="Z18:Z23" si="31">$L$12*(W18^2)</f>
        <v>32.35578789376558</v>
      </c>
      <c r="AA18" s="60">
        <f t="shared" ref="AA18:AA23" si="32">(X18-Z18)/$L$14</f>
        <v>8.6438907768704276E-2</v>
      </c>
      <c r="AB18" s="61">
        <f t="shared" ref="AB18:AB21" si="33">(9.81/$O$11)*(AA18-$O$2)</f>
        <v>0.58084397789339925</v>
      </c>
      <c r="AC18" s="61">
        <f t="shared" ref="AC18:AC21" si="34">1/AB18</f>
        <v>1.7216327242072695</v>
      </c>
      <c r="AD18" s="61">
        <f t="shared" ref="AD18:AD23" si="35">W18+AVERAGE(AC18,AC11)</f>
        <v>10.758763968116423</v>
      </c>
      <c r="AE18" s="61">
        <f t="shared" ref="AE18:AE21" si="36">W18/2*AD18</f>
        <v>50.695724932472942</v>
      </c>
      <c r="AF18" s="156">
        <f t="shared" si="28"/>
        <v>311.65578789376565</v>
      </c>
    </row>
    <row r="19" spans="1:32" x14ac:dyDescent="0.45">
      <c r="A19" s="199"/>
      <c r="B19" s="56" t="s">
        <v>150</v>
      </c>
      <c r="C19" s="58">
        <f>$R$3</f>
        <v>0.02</v>
      </c>
      <c r="D19" s="58">
        <f t="shared" ref="D19:I19" si="37">$R$3</f>
        <v>0.02</v>
      </c>
      <c r="E19" s="58">
        <f t="shared" si="37"/>
        <v>0.02</v>
      </c>
      <c r="F19" s="58">
        <f t="shared" si="37"/>
        <v>0.02</v>
      </c>
      <c r="G19" s="58">
        <f t="shared" si="37"/>
        <v>0.02</v>
      </c>
      <c r="H19" s="58">
        <f t="shared" si="37"/>
        <v>0.02</v>
      </c>
      <c r="I19" s="58">
        <f t="shared" si="37"/>
        <v>0.02</v>
      </c>
      <c r="Q19" s="58">
        <f>'Тяговые и разгонные х-ки'!V20</f>
        <v>0.33750000000000002</v>
      </c>
      <c r="R19" s="59">
        <f t="shared" si="0"/>
        <v>0.02</v>
      </c>
      <c r="S19" s="253"/>
      <c r="T19" s="42">
        <f>$E$3</f>
        <v>391.75</v>
      </c>
      <c r="U19" s="27">
        <f>$E$4</f>
        <v>110.43</v>
      </c>
      <c r="V19" s="27">
        <f>Главная!$D$78</f>
        <v>188.83530000000002</v>
      </c>
      <c r="W19" s="27">
        <f>E15</f>
        <v>12.900000000000002</v>
      </c>
      <c r="X19" s="196">
        <f t="shared" si="30"/>
        <v>1234.1108930232558</v>
      </c>
      <c r="Y19" s="27">
        <f t="shared" si="17"/>
        <v>279.30000000000007</v>
      </c>
      <c r="Z19" s="27">
        <f t="shared" si="31"/>
        <v>60.625243125000026</v>
      </c>
      <c r="AA19" s="60">
        <f t="shared" si="32"/>
        <v>8.4030479763570046E-2</v>
      </c>
      <c r="AB19" s="61">
        <f t="shared" si="33"/>
        <v>0.55978822983922993</v>
      </c>
      <c r="AC19" s="61">
        <f t="shared" si="34"/>
        <v>1.786389828680746</v>
      </c>
      <c r="AD19" s="61">
        <f t="shared" si="35"/>
        <v>14.272656748081676</v>
      </c>
      <c r="AE19" s="61">
        <f t="shared" si="36"/>
        <v>92.05863602512683</v>
      </c>
      <c r="AF19" s="156">
        <f t="shared" si="28"/>
        <v>339.92524312500007</v>
      </c>
    </row>
    <row r="20" spans="1:32" x14ac:dyDescent="0.45">
      <c r="A20" s="199"/>
      <c r="B20" s="33" t="s">
        <v>170</v>
      </c>
      <c r="C20" s="58">
        <f>$Q$3</f>
        <v>0.33750000000000002</v>
      </c>
      <c r="D20" s="58">
        <f t="shared" ref="D20:I20" si="38">$Q$3</f>
        <v>0.33750000000000002</v>
      </c>
      <c r="E20" s="58">
        <f t="shared" si="38"/>
        <v>0.33750000000000002</v>
      </c>
      <c r="F20" s="58">
        <f t="shared" si="38"/>
        <v>0.33750000000000002</v>
      </c>
      <c r="G20" s="58">
        <f t="shared" si="38"/>
        <v>0.33750000000000002</v>
      </c>
      <c r="H20" s="58">
        <f t="shared" si="38"/>
        <v>0.33750000000000002</v>
      </c>
      <c r="I20" s="58">
        <f t="shared" si="38"/>
        <v>0.33750000000000002</v>
      </c>
      <c r="Q20" s="58">
        <f>'Тяговые и разгонные х-ки'!V21</f>
        <v>0.33750000000000002</v>
      </c>
      <c r="R20" s="59">
        <f t="shared" si="0"/>
        <v>0.02</v>
      </c>
      <c r="S20" s="253"/>
      <c r="T20" s="42">
        <f>$F$3</f>
        <v>406.6</v>
      </c>
      <c r="U20" s="27">
        <f>$F$4</f>
        <v>109.95</v>
      </c>
      <c r="V20" s="27">
        <f>Главная!$E$78</f>
        <v>167.124</v>
      </c>
      <c r="W20" s="27">
        <f>F15</f>
        <v>16.736247606892153</v>
      </c>
      <c r="X20" s="196">
        <f t="shared" si="30"/>
        <v>1228.7466511627906</v>
      </c>
      <c r="Y20" s="27">
        <f t="shared" si="17"/>
        <v>279.30000000000007</v>
      </c>
      <c r="Z20" s="27">
        <f t="shared" si="31"/>
        <v>102.04465403113727</v>
      </c>
      <c r="AA20" s="60">
        <f t="shared" si="32"/>
        <v>8.0680415118628945E-2</v>
      </c>
      <c r="AB20" s="61">
        <f t="shared" si="33"/>
        <v>0.53050019757142342</v>
      </c>
      <c r="AC20" s="61">
        <f t="shared" si="34"/>
        <v>1.8850134355800421</v>
      </c>
      <c r="AD20" s="61">
        <f t="shared" si="35"/>
        <v>18.16547136106503</v>
      </c>
      <c r="AE20" s="61">
        <f t="shared" si="36"/>
        <v>152.01091329734629</v>
      </c>
      <c r="AF20" s="156">
        <f t="shared" si="28"/>
        <v>381.34465403113734</v>
      </c>
    </row>
    <row r="21" spans="1:32" x14ac:dyDescent="0.45">
      <c r="A21" s="199"/>
      <c r="B21" s="32"/>
      <c r="C21" s="58"/>
      <c r="D21" s="58"/>
      <c r="E21" s="58"/>
      <c r="F21" s="58"/>
      <c r="G21" s="58"/>
      <c r="H21" s="58"/>
      <c r="I21" s="58"/>
      <c r="Q21" s="58">
        <f>'Тяговые и разгонные х-ки'!V22</f>
        <v>0.33750000000000002</v>
      </c>
      <c r="R21" s="59">
        <f t="shared" si="0"/>
        <v>0.02</v>
      </c>
      <c r="S21" s="253"/>
      <c r="T21" s="42">
        <f>$G$3</f>
        <v>461.32</v>
      </c>
      <c r="U21" s="27">
        <f>$G$4</f>
        <v>108.51</v>
      </c>
      <c r="V21" s="27">
        <f>Главная!$F$78</f>
        <v>120.44610000000002</v>
      </c>
      <c r="W21" s="27">
        <f>G15</f>
        <v>26.584043395022334</v>
      </c>
      <c r="X21" s="196">
        <f t="shared" si="30"/>
        <v>1212.6539255813952</v>
      </c>
      <c r="Y21" s="27">
        <f t="shared" si="17"/>
        <v>279.30000000000007</v>
      </c>
      <c r="Z21" s="27">
        <f t="shared" si="31"/>
        <v>257.46378351615766</v>
      </c>
      <c r="AA21" s="60">
        <f t="shared" si="32"/>
        <v>6.8398864451502853E-2</v>
      </c>
      <c r="AB21" s="61">
        <f t="shared" si="33"/>
        <v>0.42312840318510558</v>
      </c>
      <c r="AC21" s="61">
        <f t="shared" si="34"/>
        <v>2.363348790751187</v>
      </c>
      <c r="AD21" s="61">
        <f t="shared" si="35"/>
        <v>28.279596642828746</v>
      </c>
      <c r="AE21" s="61">
        <f t="shared" si="36"/>
        <v>375.89301217334366</v>
      </c>
      <c r="AF21" s="156">
        <f t="shared" si="28"/>
        <v>536.76378351615767</v>
      </c>
    </row>
    <row r="22" spans="1:32" x14ac:dyDescent="0.45">
      <c r="A22" s="199"/>
      <c r="B22" s="32"/>
      <c r="C22" s="58"/>
      <c r="D22" s="58"/>
      <c r="E22" s="58"/>
      <c r="F22" s="58"/>
      <c r="G22" s="58"/>
      <c r="H22" s="58"/>
      <c r="I22" s="58"/>
      <c r="Q22" s="58">
        <f>'Тяговые и разгонные х-ки'!V23</f>
        <v>0.33750000000000002</v>
      </c>
      <c r="R22" s="59">
        <f t="shared" si="0"/>
        <v>0.02</v>
      </c>
      <c r="S22" s="253"/>
      <c r="T22" s="42">
        <f>$H$3</f>
        <v>611.39</v>
      </c>
      <c r="U22" s="27">
        <f>$H$4</f>
        <v>91.7</v>
      </c>
      <c r="V22" s="27">
        <f>Главная!$G$78</f>
        <v>91.7</v>
      </c>
      <c r="W22" s="27">
        <f>H15</f>
        <v>45.298263560944477</v>
      </c>
      <c r="X22" s="196">
        <f t="shared" si="30"/>
        <v>1024.7937054263566</v>
      </c>
      <c r="Y22" s="27">
        <f t="shared" si="17"/>
        <v>279.30000000000007</v>
      </c>
      <c r="Z22" s="27">
        <f t="shared" si="31"/>
        <v>747.54472507880325</v>
      </c>
      <c r="AA22" s="60">
        <f t="shared" si="32"/>
        <v>1.9853131424815849E-2</v>
      </c>
      <c r="AB22" s="61">
        <f>(9.81/$O$11)*(AA22-$O$2)</f>
        <v>-1.2840025566718037E-3</v>
      </c>
      <c r="AC22" s="61">
        <v>8</v>
      </c>
      <c r="AD22" s="61">
        <f t="shared" si="35"/>
        <v>50.050341484535529</v>
      </c>
      <c r="AE22" s="61">
        <f>W22/2*AD22</f>
        <v>1133.5967799408818</v>
      </c>
      <c r="AF22" s="156">
        <f t="shared" si="28"/>
        <v>1026.8447250788033</v>
      </c>
    </row>
    <row r="23" spans="1:32" ht="14.65" thickBot="1" x14ac:dyDescent="0.5">
      <c r="A23" s="199"/>
      <c r="B23" s="32"/>
      <c r="C23" s="58"/>
      <c r="D23" s="58"/>
      <c r="E23" s="58"/>
      <c r="F23" s="58"/>
      <c r="G23" s="58"/>
      <c r="H23" s="58"/>
      <c r="I23" s="58"/>
      <c r="Q23" s="58">
        <f>'Тяговые и разгонные х-ки'!V24</f>
        <v>0.33750000000000002</v>
      </c>
      <c r="R23" s="59">
        <f t="shared" si="0"/>
        <v>0.02</v>
      </c>
      <c r="S23" s="254"/>
      <c r="T23" s="157">
        <f>$I$3</f>
        <v>630</v>
      </c>
      <c r="U23" s="158">
        <f>$I$4</f>
        <v>59.04</v>
      </c>
      <c r="V23" s="158">
        <f>Главная!$H$78</f>
        <v>59.04</v>
      </c>
      <c r="W23" s="158">
        <f>I15</f>
        <v>49.270261646458202</v>
      </c>
      <c r="X23" s="198">
        <f t="shared" si="30"/>
        <v>659.80174883720929</v>
      </c>
      <c r="Y23" s="158">
        <f t="shared" si="17"/>
        <v>279.30000000000007</v>
      </c>
      <c r="Z23" s="158">
        <f t="shared" si="31"/>
        <v>884.38997259495102</v>
      </c>
      <c r="AA23" s="159">
        <f t="shared" si="32"/>
        <v>-1.608222153653718E-2</v>
      </c>
      <c r="AB23" s="146">
        <f t="shared" ref="AB23" si="39">(9.81/$O$11)*(AA23-$O$2)</f>
        <v>-0.31544981385719539</v>
      </c>
      <c r="AC23" s="146">
        <v>25</v>
      </c>
      <c r="AD23" s="146">
        <f t="shared" si="35"/>
        <v>63.645570642794183</v>
      </c>
      <c r="AE23" s="146">
        <f t="shared" ref="AE23" si="40">W23/2*AD23</f>
        <v>1567.9169591043042</v>
      </c>
      <c r="AF23" s="160">
        <f t="shared" si="28"/>
        <v>1163.6899725949511</v>
      </c>
    </row>
    <row r="24" spans="1:32" x14ac:dyDescent="0.45">
      <c r="A24" s="199"/>
      <c r="B24" s="32"/>
      <c r="C24" s="58"/>
      <c r="D24" s="58"/>
      <c r="E24" s="58"/>
      <c r="F24" s="58"/>
      <c r="G24" s="58"/>
      <c r="H24" s="58"/>
      <c r="I24" s="58"/>
    </row>
    <row r="25" spans="1:32" x14ac:dyDescent="0.45">
      <c r="A25" s="199"/>
      <c r="B25" s="32"/>
      <c r="C25" s="58"/>
      <c r="D25" s="58"/>
      <c r="E25" s="58"/>
      <c r="F25" s="58"/>
      <c r="G25" s="58"/>
      <c r="H25" s="58"/>
      <c r="I25" s="58"/>
      <c r="Q25" s="26">
        <v>0.24499999999999997</v>
      </c>
    </row>
    <row r="26" spans="1:32" x14ac:dyDescent="0.45">
      <c r="A26" s="199"/>
      <c r="B26" s="32"/>
      <c r="C26" s="58"/>
      <c r="D26" s="58"/>
      <c r="E26" s="58"/>
      <c r="F26" s="58"/>
      <c r="G26" s="58"/>
      <c r="H26" s="58"/>
      <c r="I26" s="58"/>
      <c r="Q26" s="26">
        <v>0.24499999999999997</v>
      </c>
    </row>
    <row r="27" spans="1:32" x14ac:dyDescent="0.45">
      <c r="A27" s="240"/>
      <c r="B27" s="32"/>
      <c r="C27" s="58"/>
      <c r="D27" s="58"/>
      <c r="E27" s="58"/>
      <c r="F27" s="58"/>
      <c r="G27" s="58"/>
      <c r="H27" s="58"/>
      <c r="I27" s="58"/>
    </row>
    <row r="28" spans="1:32" x14ac:dyDescent="0.45">
      <c r="A28" s="240"/>
      <c r="B28" s="32"/>
      <c r="C28" s="58"/>
      <c r="D28" s="58"/>
      <c r="E28" s="58"/>
      <c r="F28" s="58"/>
      <c r="G28" s="58"/>
      <c r="H28" s="58"/>
      <c r="I28" s="58"/>
    </row>
    <row r="29" spans="1:32" x14ac:dyDescent="0.45">
      <c r="A29" s="240"/>
      <c r="B29" s="97"/>
      <c r="C29" s="58"/>
      <c r="D29" s="58"/>
      <c r="E29" s="58"/>
      <c r="F29" s="58"/>
      <c r="G29" s="58"/>
      <c r="H29" s="58"/>
      <c r="I29" s="58"/>
    </row>
    <row r="30" spans="1:32" x14ac:dyDescent="0.45">
      <c r="A30" s="240"/>
      <c r="B30" s="32"/>
      <c r="C30" s="58"/>
      <c r="D30" s="58"/>
      <c r="E30" s="58"/>
      <c r="F30" s="58"/>
      <c r="G30" s="58"/>
      <c r="H30" s="58"/>
      <c r="I30" s="58"/>
    </row>
    <row r="31" spans="1:32" x14ac:dyDescent="0.45">
      <c r="A31" s="240"/>
      <c r="B31" s="32"/>
      <c r="C31" s="58"/>
      <c r="D31" s="58"/>
      <c r="E31" s="58"/>
      <c r="F31" s="58"/>
      <c r="G31" s="58"/>
      <c r="H31" s="58"/>
      <c r="I31" s="58"/>
    </row>
  </sheetData>
  <mergeCells count="11">
    <mergeCell ref="S3:S9"/>
    <mergeCell ref="S10:S16"/>
    <mergeCell ref="S17:S23"/>
    <mergeCell ref="A15:A18"/>
    <mergeCell ref="C1:I1"/>
    <mergeCell ref="A27:A31"/>
    <mergeCell ref="A1:A2"/>
    <mergeCell ref="B1:B2"/>
    <mergeCell ref="A3:A6"/>
    <mergeCell ref="A7:A10"/>
    <mergeCell ref="A11:A14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92"/>
  <sheetViews>
    <sheetView topLeftCell="C1" zoomScale="60" zoomScaleNormal="60" workbookViewId="0">
      <selection activeCell="AJ76" sqref="AJ76"/>
    </sheetView>
  </sheetViews>
  <sheetFormatPr defaultRowHeight="14.25" x14ac:dyDescent="0.45"/>
  <cols>
    <col min="1" max="1" width="4.3984375" style="26" customWidth="1"/>
    <col min="2" max="2" width="9.73046875" style="26" customWidth="1"/>
    <col min="3" max="3" width="7.1328125" style="26" customWidth="1"/>
    <col min="4" max="4" width="9.86328125" style="26" customWidth="1"/>
    <col min="5" max="5" width="6.86328125" style="26" customWidth="1"/>
    <col min="6" max="6" width="9.06640625" style="26"/>
    <col min="7" max="7" width="7.86328125" style="26" customWidth="1"/>
    <col min="8" max="8" width="7.3984375" style="26" customWidth="1"/>
    <col min="9" max="9" width="8.73046875" style="26" customWidth="1"/>
    <col min="10" max="10" width="7.1328125" style="26" customWidth="1"/>
    <col min="11" max="11" width="8.59765625" style="26" customWidth="1"/>
    <col min="12" max="12" width="9.86328125" style="26" bestFit="1" customWidth="1"/>
    <col min="13" max="13" width="9.9296875" style="26" customWidth="1"/>
    <col min="14" max="14" width="6.265625" style="26" customWidth="1"/>
    <col min="15" max="15" width="8.73046875" style="26" customWidth="1"/>
    <col min="16" max="16" width="6.3984375" style="26" customWidth="1"/>
    <col min="17" max="17" width="6.59765625" style="26" customWidth="1"/>
    <col min="18" max="18" width="5.1328125" style="26" customWidth="1"/>
    <col min="19" max="19" width="6.3984375" style="26" customWidth="1"/>
    <col min="20" max="20" width="5.86328125" style="26" customWidth="1"/>
    <col min="21" max="23" width="9.06640625" style="26"/>
    <col min="24" max="24" width="8.59765625" style="26" customWidth="1"/>
    <col min="25" max="26" width="7.73046875" style="26" customWidth="1"/>
    <col min="27" max="27" width="7.59765625" style="26" customWidth="1"/>
    <col min="28" max="28" width="7.86328125" style="26" customWidth="1"/>
    <col min="29" max="29" width="9.3984375" style="26" customWidth="1"/>
    <col min="30" max="30" width="6.1328125" style="26" customWidth="1"/>
    <col min="31" max="16384" width="9.06640625" style="26"/>
  </cols>
  <sheetData>
    <row r="1" spans="2:39" ht="8.25" customHeight="1" x14ac:dyDescent="0.45"/>
    <row r="2" spans="2:39" ht="15" customHeight="1" thickBot="1" x14ac:dyDescent="0.5">
      <c r="B2" s="261" t="s">
        <v>168</v>
      </c>
      <c r="C2" s="261"/>
      <c r="D2" s="261"/>
      <c r="E2" s="261"/>
      <c r="F2" s="261"/>
      <c r="G2" s="261"/>
      <c r="U2" s="262" t="s">
        <v>169</v>
      </c>
      <c r="V2" s="262"/>
      <c r="W2" s="262"/>
      <c r="X2" s="262"/>
      <c r="Y2" s="262"/>
      <c r="Z2" s="262"/>
    </row>
    <row r="3" spans="2:39" ht="39" customHeight="1" thickBot="1" x14ac:dyDescent="0.5">
      <c r="B3" s="161" t="s">
        <v>83</v>
      </c>
      <c r="C3" s="162" t="s">
        <v>80</v>
      </c>
      <c r="D3" s="163" t="s">
        <v>151</v>
      </c>
      <c r="E3" s="163" t="s">
        <v>85</v>
      </c>
      <c r="F3" s="163" t="s">
        <v>87</v>
      </c>
      <c r="G3" s="163" t="s">
        <v>153</v>
      </c>
      <c r="H3" s="163" t="s">
        <v>154</v>
      </c>
      <c r="I3" s="163" t="s">
        <v>90</v>
      </c>
      <c r="J3" s="163" t="s">
        <v>94</v>
      </c>
      <c r="K3" s="163" t="s">
        <v>95</v>
      </c>
      <c r="L3" s="163" t="s">
        <v>155</v>
      </c>
      <c r="M3" s="189" t="s">
        <v>156</v>
      </c>
      <c r="N3" s="164" t="s">
        <v>157</v>
      </c>
      <c r="O3" s="67" t="s">
        <v>93</v>
      </c>
      <c r="P3" s="61">
        <f>P7*$P$10</f>
        <v>8.7420000000000009</v>
      </c>
      <c r="U3" s="68" t="s">
        <v>85</v>
      </c>
      <c r="V3" s="69" t="s">
        <v>170</v>
      </c>
      <c r="W3" s="69" t="s">
        <v>150</v>
      </c>
      <c r="Y3" s="70" t="s">
        <v>171</v>
      </c>
      <c r="Z3" s="92">
        <v>0.45</v>
      </c>
      <c r="AA3" s="32"/>
      <c r="AB3" s="32"/>
      <c r="AC3" s="32"/>
      <c r="AD3" s="21" t="s">
        <v>192</v>
      </c>
      <c r="AE3" s="98">
        <v>5</v>
      </c>
      <c r="AF3" s="98">
        <v>10</v>
      </c>
      <c r="AG3" s="98">
        <v>15</v>
      </c>
      <c r="AH3" s="98">
        <v>20</v>
      </c>
      <c r="AI3" s="98">
        <v>25</v>
      </c>
      <c r="AJ3" s="98">
        <v>30</v>
      </c>
      <c r="AK3" s="98">
        <v>35</v>
      </c>
      <c r="AL3" s="98">
        <v>40</v>
      </c>
      <c r="AM3" s="98">
        <v>45</v>
      </c>
    </row>
    <row r="4" spans="2:39" x14ac:dyDescent="0.45">
      <c r="B4" s="258">
        <v>1</v>
      </c>
      <c r="C4" s="149">
        <f>C12</f>
        <v>360</v>
      </c>
      <c r="D4" s="153">
        <f>Главная!K14</f>
        <v>111.46913580246914</v>
      </c>
      <c r="E4" s="153">
        <f>(C4*$P$12)/$P$3</f>
        <v>10.624571036376114</v>
      </c>
      <c r="F4" s="153">
        <f t="shared" ref="F4:F11" si="0">(D4*$P$13*$P$3)/$P$12</f>
        <v>3474.8299626758544</v>
      </c>
      <c r="G4" s="153">
        <f t="shared" ref="G4:G27" si="1">$P$14*$P$15*$P$16</f>
        <v>279.58500000000004</v>
      </c>
      <c r="H4" s="153">
        <f t="shared" ref="H4:H19" si="2">$P$17*$P$18*$P$19*(E4^2)</f>
        <v>41.12985963156116</v>
      </c>
      <c r="I4" s="154">
        <f>(F4-H4)/($P$15*$P$16)</f>
        <v>0.24562834937813499</v>
      </c>
      <c r="J4" s="142">
        <f t="shared" ref="J4:J11" si="3">($P$16/$S$7)*(I4-$P$14)</f>
        <v>1.7145288105104048</v>
      </c>
      <c r="K4" s="184">
        <f t="shared" ref="K4" si="4">1/J4</f>
        <v>0.58325062481878387</v>
      </c>
      <c r="L4" s="184">
        <f>E4*K4</f>
        <v>6.1967876953979228</v>
      </c>
      <c r="M4" s="185">
        <f>E4/2*L4</f>
        <v>32.919105533548333</v>
      </c>
      <c r="N4" s="263">
        <f>G4+H4</f>
        <v>320.71485963156118</v>
      </c>
      <c r="O4" s="67" t="s">
        <v>84</v>
      </c>
      <c r="P4" s="61">
        <f t="shared" ref="P4" si="5">P8*$P$10</f>
        <v>5</v>
      </c>
      <c r="U4" s="61">
        <f t="shared" ref="U4:U19" si="6">E4</f>
        <v>10.624571036376114</v>
      </c>
      <c r="V4" s="61">
        <f>$Z$3*$Z$4</f>
        <v>0.33750000000000002</v>
      </c>
      <c r="W4" s="61">
        <f>'Дин. х-ка автомобиля с ГТК'!$O$2</f>
        <v>0.02</v>
      </c>
      <c r="X4" s="34"/>
      <c r="Y4" s="71" t="s">
        <v>172</v>
      </c>
      <c r="Z4" s="92">
        <v>0.75</v>
      </c>
      <c r="AD4" s="21" t="s">
        <v>193</v>
      </c>
      <c r="AE4" s="98"/>
      <c r="AF4" s="98"/>
      <c r="AG4" s="98"/>
      <c r="AH4" s="98"/>
      <c r="AI4" s="98"/>
      <c r="AJ4" s="98"/>
      <c r="AK4" s="98"/>
      <c r="AL4" s="98"/>
      <c r="AM4" s="98"/>
    </row>
    <row r="5" spans="2:39" x14ac:dyDescent="0.45">
      <c r="B5" s="259"/>
      <c r="C5" s="42">
        <f>Главная!A15</f>
        <v>400</v>
      </c>
      <c r="D5" s="27">
        <f>Главная!K15</f>
        <v>110.32595270890727</v>
      </c>
      <c r="E5" s="27">
        <f t="shared" ref="E5:E11" si="7">(C5*$P$12)/$P$3</f>
        <v>11.805078929306793</v>
      </c>
      <c r="F5" s="27">
        <f t="shared" si="0"/>
        <v>3439.1934895145973</v>
      </c>
      <c r="G5" s="27">
        <f t="shared" si="1"/>
        <v>279.58500000000004</v>
      </c>
      <c r="H5" s="27">
        <f t="shared" si="2"/>
        <v>50.777604483408844</v>
      </c>
      <c r="I5" s="60">
        <f t="shared" ref="I5:I19" si="8">(F5-H5)/($P$15*$P$16)</f>
        <v>0.24238896114106182</v>
      </c>
      <c r="J5" s="61">
        <f t="shared" si="3"/>
        <v>1.6899130010334567</v>
      </c>
      <c r="K5" s="61">
        <f t="shared" ref="K5:K19" si="9">1/J5</f>
        <v>0.59174643865598742</v>
      </c>
      <c r="L5" s="139">
        <f t="shared" ref="L5:L19" si="10">E5*K5</f>
        <v>6.9856134144701318</v>
      </c>
      <c r="M5" s="186">
        <f t="shared" ref="M5:M11" si="11">E5/2*L5</f>
        <v>41.232858863722122</v>
      </c>
      <c r="N5" s="263">
        <f t="shared" ref="N5:N27" si="12">G5+H5</f>
        <v>330.36260448340886</v>
      </c>
      <c r="O5" s="67" t="s">
        <v>89</v>
      </c>
      <c r="P5" s="135">
        <f>'Ск-ть ГТК и авто'!K6</f>
        <v>3.1339999999999999</v>
      </c>
      <c r="U5" s="61">
        <f t="shared" si="6"/>
        <v>11.805078929306793</v>
      </c>
      <c r="V5" s="61">
        <f t="shared" ref="V5:V27" si="13">$Z$3*$Z$4</f>
        <v>0.33750000000000002</v>
      </c>
      <c r="W5" s="61">
        <f>'Дин. х-ка автомобиля с ГТК'!$O$2</f>
        <v>0.02</v>
      </c>
      <c r="X5" s="34"/>
      <c r="Y5" s="72"/>
      <c r="Z5" s="72"/>
      <c r="AD5" s="21" t="s">
        <v>194</v>
      </c>
      <c r="AE5" s="98"/>
      <c r="AF5" s="98"/>
      <c r="AG5" s="98"/>
      <c r="AH5" s="98"/>
      <c r="AI5" s="98"/>
      <c r="AJ5" s="98"/>
      <c r="AK5" s="98"/>
      <c r="AL5" s="98"/>
      <c r="AM5" s="98"/>
    </row>
    <row r="6" spans="2:39" x14ac:dyDescent="0.45">
      <c r="B6" s="259"/>
      <c r="C6" s="42">
        <f>Главная!A16</f>
        <v>440</v>
      </c>
      <c r="D6" s="27">
        <f>Главная!K16</f>
        <v>108.9977460555973</v>
      </c>
      <c r="E6" s="27">
        <f t="shared" si="7"/>
        <v>12.985586822237474</v>
      </c>
      <c r="F6" s="27">
        <f t="shared" si="0"/>
        <v>3397.7892726224386</v>
      </c>
      <c r="G6" s="27">
        <f t="shared" si="1"/>
        <v>279.58500000000004</v>
      </c>
      <c r="H6" s="27">
        <f t="shared" si="2"/>
        <v>61.440901424924718</v>
      </c>
      <c r="I6" s="60">
        <f t="shared" si="8"/>
        <v>0.2386643325784655</v>
      </c>
      <c r="J6" s="61">
        <f t="shared" si="3"/>
        <v>1.6616098955211307</v>
      </c>
      <c r="K6" s="61">
        <f t="shared" si="9"/>
        <v>0.60182597774333191</v>
      </c>
      <c r="L6" s="139">
        <f t="shared" si="10"/>
        <v>7.8150634858639947</v>
      </c>
      <c r="M6" s="186">
        <f t="shared" si="11"/>
        <v>50.741592708492377</v>
      </c>
      <c r="N6" s="263">
        <f t="shared" si="12"/>
        <v>341.02590142492477</v>
      </c>
      <c r="O6" s="73"/>
      <c r="P6" s="36"/>
      <c r="U6" s="61">
        <f t="shared" si="6"/>
        <v>12.985586822237474</v>
      </c>
      <c r="V6" s="61">
        <f t="shared" si="13"/>
        <v>0.33750000000000002</v>
      </c>
      <c r="W6" s="61">
        <f>'Дин. х-ка автомобиля с ГТК'!$O$2</f>
        <v>0.02</v>
      </c>
      <c r="X6" s="34"/>
      <c r="Y6" s="72"/>
      <c r="Z6" s="72"/>
      <c r="AD6" s="21" t="s">
        <v>195</v>
      </c>
      <c r="AE6" s="98"/>
      <c r="AF6" s="98"/>
      <c r="AG6" s="98"/>
      <c r="AH6" s="98"/>
      <c r="AI6" s="98"/>
      <c r="AJ6" s="98"/>
      <c r="AK6" s="98"/>
      <c r="AL6" s="98"/>
      <c r="AM6" s="98"/>
    </row>
    <row r="7" spans="2:39" x14ac:dyDescent="0.45">
      <c r="B7" s="259"/>
      <c r="C7" s="42">
        <f>Главная!A17</f>
        <v>480</v>
      </c>
      <c r="D7" s="27">
        <f>Главная!K17</f>
        <v>107.50207568105294</v>
      </c>
      <c r="E7" s="27">
        <f t="shared" si="7"/>
        <v>14.166094715168153</v>
      </c>
      <c r="F7" s="27">
        <f t="shared" si="0"/>
        <v>3351.1647052537355</v>
      </c>
      <c r="G7" s="27">
        <f t="shared" si="1"/>
        <v>279.58500000000004</v>
      </c>
      <c r="H7" s="27">
        <f t="shared" si="2"/>
        <v>73.119750456108747</v>
      </c>
      <c r="I7" s="60">
        <f t="shared" si="8"/>
        <v>0.23449362124560522</v>
      </c>
      <c r="J7" s="61">
        <f t="shared" si="3"/>
        <v>1.6299170485884651</v>
      </c>
      <c r="K7" s="61">
        <f t="shared" si="9"/>
        <v>0.61352815523097715</v>
      </c>
      <c r="L7" s="139">
        <f t="shared" si="10"/>
        <v>8.6912979574244122</v>
      </c>
      <c r="M7" s="186">
        <f t="shared" si="11"/>
        <v>61.560875031310864</v>
      </c>
      <c r="N7" s="263">
        <f t="shared" si="12"/>
        <v>352.7047504561088</v>
      </c>
      <c r="O7" s="67" t="s">
        <v>82</v>
      </c>
      <c r="P7" s="61">
        <f>'Дин. х-ка автомобиля с ГТК'!O3</f>
        <v>2.50487106017192</v>
      </c>
      <c r="R7" s="52" t="s">
        <v>161</v>
      </c>
      <c r="S7" s="60">
        <f>1.04+0.04*(P7^2)</f>
        <v>1.2909751611234719</v>
      </c>
      <c r="U7" s="61">
        <f t="shared" si="6"/>
        <v>14.166094715168153</v>
      </c>
      <c r="V7" s="61">
        <f t="shared" si="13"/>
        <v>0.33750000000000002</v>
      </c>
      <c r="W7" s="61">
        <f>'Дин. х-ка автомобиля с ГТК'!$O$2</f>
        <v>0.02</v>
      </c>
      <c r="X7" s="34"/>
      <c r="Y7" s="72"/>
      <c r="Z7" s="72"/>
    </row>
    <row r="8" spans="2:39" x14ac:dyDescent="0.45">
      <c r="B8" s="259"/>
      <c r="C8" s="42">
        <f>Главная!A18</f>
        <v>520</v>
      </c>
      <c r="D8" s="27">
        <f>Главная!K18</f>
        <v>103.25167761531397</v>
      </c>
      <c r="E8" s="27">
        <f t="shared" si="7"/>
        <v>15.346602608098831</v>
      </c>
      <c r="F8" s="27">
        <f t="shared" si="0"/>
        <v>3218.6669475039876</v>
      </c>
      <c r="G8" s="27">
        <f t="shared" si="1"/>
        <v>279.58500000000004</v>
      </c>
      <c r="H8" s="27">
        <f t="shared" si="2"/>
        <v>85.814151576960938</v>
      </c>
      <c r="I8" s="60">
        <f t="shared" si="8"/>
        <v>0.22410735883019667</v>
      </c>
      <c r="J8" s="61">
        <f t="shared" si="3"/>
        <v>1.550992807934223</v>
      </c>
      <c r="K8" s="61">
        <f t="shared" si="9"/>
        <v>0.64474831532707511</v>
      </c>
      <c r="L8" s="139">
        <f t="shared" si="10"/>
        <v>9.8946961775658178</v>
      </c>
      <c r="M8" s="186">
        <f t="shared" si="11"/>
        <v>75.924985082488561</v>
      </c>
      <c r="N8" s="263">
        <f t="shared" si="12"/>
        <v>365.399151576961</v>
      </c>
      <c r="O8" s="67" t="s">
        <v>91</v>
      </c>
      <c r="P8" s="61">
        <f>'Дин. х-ка автомобиля с ГТК'!O4</f>
        <v>1.4326647564469912</v>
      </c>
      <c r="R8" s="52" t="s">
        <v>162</v>
      </c>
      <c r="S8" s="60">
        <f t="shared" ref="S8:S9" si="14">1.04+0.04*(P8^2)</f>
        <v>1.1221011321746126</v>
      </c>
      <c r="U8" s="61">
        <f t="shared" si="6"/>
        <v>15.346602608098831</v>
      </c>
      <c r="V8" s="61">
        <f t="shared" si="13"/>
        <v>0.33750000000000002</v>
      </c>
      <c r="W8" s="61">
        <f>'Дин. х-ка автомобиля с ГТК'!$O$2</f>
        <v>0.02</v>
      </c>
      <c r="AA8" s="34"/>
      <c r="AB8" s="72"/>
      <c r="AC8" s="72"/>
    </row>
    <row r="9" spans="2:39" x14ac:dyDescent="0.45">
      <c r="B9" s="259"/>
      <c r="C9" s="42">
        <f>Главная!A19</f>
        <v>560</v>
      </c>
      <c r="D9" s="27">
        <f>Главная!K19</f>
        <v>98.290305653942028</v>
      </c>
      <c r="E9" s="27">
        <f t="shared" si="7"/>
        <v>16.527110501029512</v>
      </c>
      <c r="F9" s="27">
        <f t="shared" si="0"/>
        <v>3064.0059839713967</v>
      </c>
      <c r="G9" s="27">
        <f t="shared" si="1"/>
        <v>279.58500000000004</v>
      </c>
      <c r="H9" s="27">
        <f t="shared" si="2"/>
        <v>99.524104787481335</v>
      </c>
      <c r="I9" s="60">
        <f t="shared" si="8"/>
        <v>0.21206301333647479</v>
      </c>
      <c r="J9" s="61">
        <f t="shared" si="3"/>
        <v>1.4594689484119474</v>
      </c>
      <c r="K9" s="61">
        <f t="shared" si="9"/>
        <v>0.68518073035271021</v>
      </c>
      <c r="L9" s="139">
        <f t="shared" si="10"/>
        <v>11.324057643715348</v>
      </c>
      <c r="M9" s="186">
        <f t="shared" si="11"/>
        <v>93.576975998855715</v>
      </c>
      <c r="N9" s="263">
        <f t="shared" si="12"/>
        <v>379.10910478748139</v>
      </c>
      <c r="O9" s="67" t="s">
        <v>92</v>
      </c>
      <c r="P9" s="61">
        <f>'Дин. х-ка автомобиля с ГТК'!O5</f>
        <v>0.89799426934097415</v>
      </c>
      <c r="R9" s="52" t="s">
        <v>164</v>
      </c>
      <c r="S9" s="60">
        <f t="shared" si="14"/>
        <v>1.0722557483107693</v>
      </c>
      <c r="U9" s="61">
        <f t="shared" si="6"/>
        <v>16.527110501029512</v>
      </c>
      <c r="V9" s="61">
        <f t="shared" si="13"/>
        <v>0.33750000000000002</v>
      </c>
      <c r="W9" s="61">
        <f>'Дин. х-ка автомобиля с ГТК'!$O$2</f>
        <v>0.02</v>
      </c>
      <c r="AA9" s="34"/>
      <c r="AB9" s="72"/>
      <c r="AC9" s="72"/>
    </row>
    <row r="10" spans="2:39" x14ac:dyDescent="0.45">
      <c r="B10" s="259"/>
      <c r="C10" s="42">
        <f>Главная!A20</f>
        <v>600</v>
      </c>
      <c r="D10" s="27">
        <f>Главная!K20</f>
        <v>92.842707376798273</v>
      </c>
      <c r="E10" s="27">
        <f t="shared" si="7"/>
        <v>17.707618393960193</v>
      </c>
      <c r="F10" s="27">
        <f t="shared" si="0"/>
        <v>2894.1878761896623</v>
      </c>
      <c r="G10" s="27">
        <f t="shared" si="1"/>
        <v>279.58500000000004</v>
      </c>
      <c r="H10" s="27">
        <f t="shared" si="2"/>
        <v>114.24961008766994</v>
      </c>
      <c r="I10" s="60">
        <f t="shared" si="8"/>
        <v>0.19886176054523613</v>
      </c>
      <c r="J10" s="61">
        <f t="shared" si="3"/>
        <v>1.3591538580973128</v>
      </c>
      <c r="K10" s="61">
        <f t="shared" si="9"/>
        <v>0.73575187536156184</v>
      </c>
      <c r="L10" s="139">
        <f t="shared" si="10"/>
        <v>13.028413441543099</v>
      </c>
      <c r="M10" s="186">
        <f t="shared" si="11"/>
        <v>115.3510867507934</v>
      </c>
      <c r="N10" s="263">
        <f t="shared" si="12"/>
        <v>393.83461008766994</v>
      </c>
      <c r="O10" s="67" t="s">
        <v>79</v>
      </c>
      <c r="P10" s="28">
        <f>'Дин. х-ка автомобиля с ГТК'!O9</f>
        <v>3.49</v>
      </c>
      <c r="U10" s="61">
        <f t="shared" si="6"/>
        <v>17.707618393960193</v>
      </c>
      <c r="V10" s="61">
        <f t="shared" si="13"/>
        <v>0.33750000000000002</v>
      </c>
      <c r="W10" s="61">
        <f>'Дин. х-ка автомобиля с ГТК'!$O$2</f>
        <v>0.02</v>
      </c>
      <c r="AA10" s="34"/>
      <c r="AB10" s="72"/>
      <c r="AC10" s="72"/>
    </row>
    <row r="11" spans="2:39" ht="14.65" thickBot="1" x14ac:dyDescent="0.5">
      <c r="B11" s="260"/>
      <c r="C11" s="157">
        <f>Главная!A21</f>
        <v>630</v>
      </c>
      <c r="D11" s="158">
        <f>Главная!K21</f>
        <v>89.460317460317455</v>
      </c>
      <c r="E11" s="158">
        <f t="shared" si="7"/>
        <v>18.592999313658201</v>
      </c>
      <c r="F11" s="158">
        <f t="shared" si="0"/>
        <v>2788.7485566629753</v>
      </c>
      <c r="G11" s="158">
        <f t="shared" si="1"/>
        <v>279.58500000000004</v>
      </c>
      <c r="H11" s="158">
        <f t="shared" si="2"/>
        <v>125.96019512165607</v>
      </c>
      <c r="I11" s="159">
        <f t="shared" si="8"/>
        <v>0.19048148946054469</v>
      </c>
      <c r="J11" s="146">
        <f t="shared" si="3"/>
        <v>1.2954729587148031</v>
      </c>
      <c r="K11" s="146">
        <f t="shared" si="9"/>
        <v>0.77191885270385552</v>
      </c>
      <c r="L11" s="187">
        <f t="shared" si="10"/>
        <v>14.352286698522612</v>
      </c>
      <c r="M11" s="188">
        <f t="shared" si="11"/>
        <v>133.42602836752832</v>
      </c>
      <c r="N11" s="263">
        <f t="shared" si="12"/>
        <v>405.54519512165609</v>
      </c>
      <c r="O11" s="74"/>
      <c r="P11" s="36"/>
      <c r="U11" s="61">
        <f t="shared" si="6"/>
        <v>18.592999313658201</v>
      </c>
      <c r="V11" s="61">
        <f t="shared" si="13"/>
        <v>0.33750000000000002</v>
      </c>
      <c r="W11" s="61">
        <f>'Дин. х-ка автомобиля с ГТК'!$O$2</f>
        <v>0.02</v>
      </c>
      <c r="AA11" s="34"/>
      <c r="AB11" s="72"/>
      <c r="AC11" s="72"/>
    </row>
    <row r="12" spans="2:39" x14ac:dyDescent="0.45">
      <c r="B12" s="255">
        <v>2</v>
      </c>
      <c r="C12" s="149">
        <f>Главная!A14</f>
        <v>360</v>
      </c>
      <c r="D12" s="153">
        <f>Главная!K14</f>
        <v>111.46913580246914</v>
      </c>
      <c r="E12" s="153">
        <f>(C12*$P$12)/$P$4</f>
        <v>18.576000000000001</v>
      </c>
      <c r="F12" s="153">
        <f t="shared" ref="F12:F19" si="15">(D12*$P$13*$P$4)/$P$12</f>
        <v>1987.43420423007</v>
      </c>
      <c r="G12" s="153">
        <f t="shared" si="1"/>
        <v>279.58500000000004</v>
      </c>
      <c r="H12" s="153">
        <f t="shared" si="2"/>
        <v>125.72997320016002</v>
      </c>
      <c r="I12" s="154">
        <f t="shared" si="8"/>
        <v>0.13317625988732656</v>
      </c>
      <c r="J12" s="142">
        <f t="shared" ref="J12:J19" si="16">($P$16/$S$8)*(I12-$P$14)</f>
        <v>0.9894465638253217</v>
      </c>
      <c r="K12" s="142">
        <f t="shared" si="9"/>
        <v>1.0106659991155837</v>
      </c>
      <c r="L12" s="184">
        <f t="shared" si="10"/>
        <v>18.774131599571085</v>
      </c>
      <c r="M12" s="143">
        <f>E12/2*L12</f>
        <v>174.37413429681624</v>
      </c>
      <c r="N12" s="263">
        <f t="shared" si="12"/>
        <v>405.31497320016007</v>
      </c>
      <c r="O12" s="75" t="s">
        <v>173</v>
      </c>
      <c r="P12" s="76">
        <f>'Дин. х-ка автомобиля с ГТК'!L3</f>
        <v>0.25800000000000001</v>
      </c>
      <c r="Q12" s="77" t="s">
        <v>58</v>
      </c>
      <c r="U12" s="61">
        <f t="shared" si="6"/>
        <v>18.576000000000001</v>
      </c>
      <c r="V12" s="61">
        <f t="shared" si="13"/>
        <v>0.33750000000000002</v>
      </c>
      <c r="W12" s="61">
        <f>'Дин. х-ка автомобиля с ГТК'!$O$2</f>
        <v>0.02</v>
      </c>
      <c r="AA12" s="34"/>
      <c r="AB12" s="72"/>
      <c r="AC12" s="72"/>
    </row>
    <row r="13" spans="2:39" x14ac:dyDescent="0.45">
      <c r="B13" s="256"/>
      <c r="C13" s="42">
        <f>Главная!A15</f>
        <v>400</v>
      </c>
      <c r="D13" s="27">
        <f>Главная!K15</f>
        <v>110.32595270890727</v>
      </c>
      <c r="E13" s="27">
        <f t="shared" ref="E13:E19" si="17">(C13*$P$12)/$P$4</f>
        <v>20.64</v>
      </c>
      <c r="F13" s="27">
        <f t="shared" si="15"/>
        <v>1967.051870003773</v>
      </c>
      <c r="G13" s="27">
        <f t="shared" si="1"/>
        <v>279.58500000000004</v>
      </c>
      <c r="H13" s="27">
        <f t="shared" si="2"/>
        <v>155.22218913600003</v>
      </c>
      <c r="I13" s="60">
        <f t="shared" si="8"/>
        <v>0.12960850409483865</v>
      </c>
      <c r="J13" s="61">
        <f t="shared" si="16"/>
        <v>0.95825536071470929</v>
      </c>
      <c r="K13" s="61">
        <f t="shared" si="9"/>
        <v>1.043563168020428</v>
      </c>
      <c r="L13" s="139">
        <f t="shared" si="10"/>
        <v>21.539143787941637</v>
      </c>
      <c r="M13" s="144">
        <f t="shared" ref="M13:M19" si="18">E13/2*L13</f>
        <v>222.2839638915577</v>
      </c>
      <c r="N13" s="263">
        <f t="shared" si="12"/>
        <v>434.80718913600003</v>
      </c>
      <c r="O13" s="78" t="s">
        <v>174</v>
      </c>
      <c r="P13" s="76">
        <f>'Дин. х-ка автомобиля с ГТК'!L1</f>
        <v>0.92</v>
      </c>
      <c r="Q13" s="77"/>
      <c r="U13" s="61">
        <f t="shared" si="6"/>
        <v>20.64</v>
      </c>
      <c r="V13" s="61">
        <f t="shared" si="13"/>
        <v>0.33750000000000002</v>
      </c>
      <c r="W13" s="61">
        <f>'Дин. х-ка автомобиля с ГТК'!$O$2</f>
        <v>0.02</v>
      </c>
      <c r="AA13" s="34"/>
      <c r="AB13" s="72"/>
      <c r="AC13" s="72"/>
    </row>
    <row r="14" spans="2:39" x14ac:dyDescent="0.45">
      <c r="B14" s="256"/>
      <c r="C14" s="42">
        <f>Главная!A16</f>
        <v>440</v>
      </c>
      <c r="D14" s="27">
        <f>Главная!K16</f>
        <v>108.9977460555973</v>
      </c>
      <c r="E14" s="27">
        <f t="shared" si="17"/>
        <v>22.704000000000001</v>
      </c>
      <c r="F14" s="27">
        <f t="shared" si="15"/>
        <v>1943.3706661075489</v>
      </c>
      <c r="G14" s="27">
        <f t="shared" si="1"/>
        <v>279.58500000000004</v>
      </c>
      <c r="H14" s="27">
        <f t="shared" si="2"/>
        <v>187.81884885456003</v>
      </c>
      <c r="I14" s="60">
        <f t="shared" si="8"/>
        <v>0.12558268986197321</v>
      </c>
      <c r="J14" s="61">
        <f t="shared" si="16"/>
        <v>0.9230595690948642</v>
      </c>
      <c r="K14" s="61">
        <f t="shared" si="9"/>
        <v>1.0833537005424061</v>
      </c>
      <c r="L14" s="139">
        <f t="shared" si="10"/>
        <v>24.59646241711479</v>
      </c>
      <c r="M14" s="144">
        <f t="shared" si="18"/>
        <v>279.2190413590871</v>
      </c>
      <c r="N14" s="263">
        <f t="shared" si="12"/>
        <v>467.40384885456007</v>
      </c>
      <c r="O14" s="75" t="s">
        <v>150</v>
      </c>
      <c r="P14" s="76">
        <f>'Дин. х-ка автомобиля с ГТК'!O2</f>
        <v>0.02</v>
      </c>
      <c r="Q14" s="77"/>
      <c r="U14" s="61">
        <f t="shared" si="6"/>
        <v>22.704000000000001</v>
      </c>
      <c r="V14" s="61">
        <f t="shared" si="13"/>
        <v>0.33750000000000002</v>
      </c>
      <c r="W14" s="61">
        <f>'Дин. х-ка автомобиля с ГТК'!$O$2</f>
        <v>0.02</v>
      </c>
      <c r="AA14" s="34"/>
      <c r="AB14" s="72"/>
      <c r="AC14" s="72"/>
    </row>
    <row r="15" spans="2:39" x14ac:dyDescent="0.45">
      <c r="B15" s="256"/>
      <c r="C15" s="42">
        <f>Главная!A17</f>
        <v>480</v>
      </c>
      <c r="D15" s="27">
        <f>Главная!K17</f>
        <v>107.50207568105294</v>
      </c>
      <c r="E15" s="27">
        <f t="shared" si="17"/>
        <v>24.768000000000001</v>
      </c>
      <c r="F15" s="27">
        <f t="shared" si="15"/>
        <v>1916.703674933502</v>
      </c>
      <c r="G15" s="27">
        <f t="shared" si="1"/>
        <v>279.58500000000004</v>
      </c>
      <c r="H15" s="27">
        <f t="shared" si="2"/>
        <v>223.51995235584002</v>
      </c>
      <c r="I15" s="60">
        <f t="shared" si="8"/>
        <v>0.12112121341113881</v>
      </c>
      <c r="J15" s="61">
        <f t="shared" si="16"/>
        <v>0.8840549885559732</v>
      </c>
      <c r="K15" s="61">
        <f t="shared" si="9"/>
        <v>1.1311513570365266</v>
      </c>
      <c r="L15" s="139">
        <f t="shared" si="10"/>
        <v>28.016356811080691</v>
      </c>
      <c r="M15" s="144">
        <f t="shared" si="18"/>
        <v>346.95456274842326</v>
      </c>
      <c r="N15" s="263">
        <f t="shared" si="12"/>
        <v>503.10495235584006</v>
      </c>
      <c r="O15" s="75" t="s">
        <v>175</v>
      </c>
      <c r="P15" s="90">
        <v>1425</v>
      </c>
      <c r="Q15" s="77" t="s">
        <v>176</v>
      </c>
      <c r="U15" s="61">
        <f t="shared" si="6"/>
        <v>24.768000000000001</v>
      </c>
      <c r="V15" s="61">
        <f t="shared" si="13"/>
        <v>0.33750000000000002</v>
      </c>
      <c r="W15" s="61">
        <f>'Дин. х-ка автомобиля с ГТК'!$O$2</f>
        <v>0.02</v>
      </c>
      <c r="AA15" s="34"/>
      <c r="AB15" s="72"/>
      <c r="AC15" s="72"/>
    </row>
    <row r="16" spans="2:39" x14ac:dyDescent="0.45">
      <c r="B16" s="256"/>
      <c r="C16" s="42">
        <f>Главная!A18</f>
        <v>520</v>
      </c>
      <c r="D16" s="27">
        <f>Главная!K18</f>
        <v>103.25167761531397</v>
      </c>
      <c r="E16" s="27">
        <f t="shared" si="17"/>
        <v>26.832000000000001</v>
      </c>
      <c r="F16" s="27">
        <f t="shared" si="15"/>
        <v>1840.9213838389312</v>
      </c>
      <c r="G16" s="27">
        <f t="shared" si="1"/>
        <v>279.58500000000004</v>
      </c>
      <c r="H16" s="27">
        <f t="shared" si="2"/>
        <v>262.32549963984002</v>
      </c>
      <c r="I16" s="60">
        <f t="shared" si="8"/>
        <v>0.11292421869550164</v>
      </c>
      <c r="J16" s="61">
        <f t="shared" si="16"/>
        <v>0.81239253687965896</v>
      </c>
      <c r="K16" s="61">
        <f t="shared" si="9"/>
        <v>1.2309320366739553</v>
      </c>
      <c r="L16" s="139">
        <f t="shared" si="10"/>
        <v>33.028368408035568</v>
      </c>
      <c r="M16" s="144">
        <f t="shared" si="18"/>
        <v>443.10859056220522</v>
      </c>
      <c r="N16" s="263">
        <f t="shared" si="12"/>
        <v>541.91049963984005</v>
      </c>
      <c r="O16" s="75" t="s">
        <v>148</v>
      </c>
      <c r="P16" s="90">
        <v>9.81</v>
      </c>
      <c r="Q16" s="77" t="s">
        <v>149</v>
      </c>
      <c r="U16" s="61">
        <f t="shared" si="6"/>
        <v>26.832000000000001</v>
      </c>
      <c r="V16" s="61">
        <f t="shared" si="13"/>
        <v>0.33750000000000002</v>
      </c>
      <c r="W16" s="61">
        <f>'Дин. х-ка автомобиля с ГТК'!$O$2</f>
        <v>0.02</v>
      </c>
      <c r="AA16" s="34"/>
      <c r="AB16" s="72"/>
      <c r="AC16" s="72"/>
    </row>
    <row r="17" spans="2:29" x14ac:dyDescent="0.45">
      <c r="B17" s="256"/>
      <c r="C17" s="42">
        <f>Главная!A19</f>
        <v>560</v>
      </c>
      <c r="D17" s="27">
        <f>Главная!K19</f>
        <v>98.290305653942028</v>
      </c>
      <c r="E17" s="27">
        <f t="shared" si="17"/>
        <v>28.896000000000004</v>
      </c>
      <c r="F17" s="27">
        <f t="shared" si="15"/>
        <v>1752.4628139850129</v>
      </c>
      <c r="G17" s="27">
        <f t="shared" si="1"/>
        <v>279.58500000000004</v>
      </c>
      <c r="H17" s="27">
        <f t="shared" si="2"/>
        <v>304.23549070656009</v>
      </c>
      <c r="I17" s="60">
        <f t="shared" si="8"/>
        <v>0.10359835636950858</v>
      </c>
      <c r="J17" s="61">
        <f t="shared" si="16"/>
        <v>0.73086092908180189</v>
      </c>
      <c r="K17" s="61">
        <f t="shared" si="9"/>
        <v>1.3682493621000154</v>
      </c>
      <c r="L17" s="139">
        <f t="shared" si="10"/>
        <v>39.536933567242052</v>
      </c>
      <c r="M17" s="144">
        <f t="shared" si="18"/>
        <v>571.2296161795133</v>
      </c>
      <c r="N17" s="263">
        <f t="shared" si="12"/>
        <v>583.82049070656012</v>
      </c>
      <c r="O17" s="75" t="s">
        <v>177</v>
      </c>
      <c r="P17" s="91">
        <v>0.15</v>
      </c>
      <c r="Q17" s="77"/>
      <c r="U17" s="61">
        <f t="shared" si="6"/>
        <v>28.896000000000004</v>
      </c>
      <c r="V17" s="61">
        <f t="shared" si="13"/>
        <v>0.33750000000000002</v>
      </c>
      <c r="W17" s="61">
        <f>'Дин. х-ка автомобиля с ГТК'!$O$2</f>
        <v>0.02</v>
      </c>
      <c r="AA17" s="34"/>
      <c r="AB17" s="72"/>
      <c r="AC17" s="72"/>
    </row>
    <row r="18" spans="2:29" x14ac:dyDescent="0.45">
      <c r="B18" s="256"/>
      <c r="C18" s="42">
        <f>Главная!A20</f>
        <v>600</v>
      </c>
      <c r="D18" s="27">
        <f>Главная!K20</f>
        <v>92.842707376798273</v>
      </c>
      <c r="E18" s="27">
        <f t="shared" si="17"/>
        <v>30.96</v>
      </c>
      <c r="F18" s="27">
        <f t="shared" si="15"/>
        <v>1655.3350927646202</v>
      </c>
      <c r="G18" s="27">
        <f t="shared" si="1"/>
        <v>279.58500000000004</v>
      </c>
      <c r="H18" s="27">
        <f t="shared" si="2"/>
        <v>349.24992555600005</v>
      </c>
      <c r="I18" s="60">
        <f t="shared" si="8"/>
        <v>9.3430274672004585E-2</v>
      </c>
      <c r="J18" s="61">
        <f t="shared" si="16"/>
        <v>0.64196619527184429</v>
      </c>
      <c r="K18" s="61">
        <f t="shared" si="9"/>
        <v>1.5577144207360394</v>
      </c>
      <c r="L18" s="139">
        <f t="shared" si="10"/>
        <v>48.226838465987782</v>
      </c>
      <c r="M18" s="144">
        <f t="shared" si="18"/>
        <v>746.55145945349091</v>
      </c>
      <c r="N18" s="263">
        <f t="shared" si="12"/>
        <v>628.83492555600014</v>
      </c>
      <c r="O18" s="75" t="s">
        <v>178</v>
      </c>
      <c r="P18" s="91">
        <v>1.25</v>
      </c>
      <c r="Q18" s="77" t="s">
        <v>179</v>
      </c>
      <c r="U18" s="61">
        <f t="shared" si="6"/>
        <v>30.96</v>
      </c>
      <c r="V18" s="61">
        <f t="shared" si="13"/>
        <v>0.33750000000000002</v>
      </c>
      <c r="W18" s="61">
        <f>'Дин. х-ка автомобиля с ГТК'!$O$2</f>
        <v>0.02</v>
      </c>
      <c r="AA18" s="34"/>
      <c r="AB18" s="72"/>
      <c r="AC18" s="72"/>
    </row>
    <row r="19" spans="2:29" ht="14.65" thickBot="1" x14ac:dyDescent="0.5">
      <c r="B19" s="256"/>
      <c r="C19" s="190">
        <f>Главная!A21</f>
        <v>630</v>
      </c>
      <c r="D19" s="191">
        <f>Главная!K21</f>
        <v>89.460317460317455</v>
      </c>
      <c r="E19" s="191">
        <f t="shared" si="17"/>
        <v>32.507999999999996</v>
      </c>
      <c r="F19" s="191">
        <f t="shared" si="15"/>
        <v>1595.0289159591484</v>
      </c>
      <c r="G19" s="191">
        <f t="shared" si="1"/>
        <v>279.58500000000004</v>
      </c>
      <c r="H19" s="191">
        <f t="shared" si="2"/>
        <v>385.04804292548994</v>
      </c>
      <c r="I19" s="192">
        <f t="shared" si="8"/>
        <v>8.6555492822122687E-2</v>
      </c>
      <c r="J19" s="140">
        <f t="shared" si="16"/>
        <v>0.58186322592839423</v>
      </c>
      <c r="K19" s="140">
        <f t="shared" si="9"/>
        <v>1.7186169454246674</v>
      </c>
      <c r="L19" s="193">
        <f t="shared" si="10"/>
        <v>55.868799661865076</v>
      </c>
      <c r="M19" s="194">
        <f t="shared" si="18"/>
        <v>908.09146970395477</v>
      </c>
      <c r="N19" s="263">
        <f t="shared" si="12"/>
        <v>664.63304292548992</v>
      </c>
      <c r="O19" s="75" t="s">
        <v>180</v>
      </c>
      <c r="P19" s="138">
        <f>0.85*$P$20*$P$21</f>
        <v>1.9432700000000001</v>
      </c>
      <c r="Q19" s="77" t="s">
        <v>181</v>
      </c>
      <c r="U19" s="61">
        <f t="shared" si="6"/>
        <v>32.507999999999996</v>
      </c>
      <c r="V19" s="61">
        <f t="shared" si="13"/>
        <v>0.33750000000000002</v>
      </c>
      <c r="W19" s="61">
        <f>'Дин. х-ка автомобиля с ГТК'!$O$2</f>
        <v>0.02</v>
      </c>
      <c r="AA19" s="34"/>
      <c r="AB19" s="72"/>
      <c r="AC19" s="72"/>
    </row>
    <row r="20" spans="2:29" x14ac:dyDescent="0.45">
      <c r="B20" s="255">
        <v>3</v>
      </c>
      <c r="C20" s="149">
        <f>Главная!A14</f>
        <v>360</v>
      </c>
      <c r="D20" s="153">
        <f>Главная!K14</f>
        <v>111.46913580246914</v>
      </c>
      <c r="E20" s="153">
        <f>(C20*$P$12)/$P$5</f>
        <v>29.636247606892152</v>
      </c>
      <c r="F20" s="153">
        <f>(D20*$P$13*$P$5)/$P$12</f>
        <v>1245.7237592114077</v>
      </c>
      <c r="G20" s="153">
        <f>$P$14*$P$15*$P$16</f>
        <v>279.58500000000004</v>
      </c>
      <c r="H20" s="153">
        <f>$P$17*$P$18*$P$19*(E20^2)</f>
        <v>320.02274597890687</v>
      </c>
      <c r="I20" s="154">
        <f>(F20-H20)/($P$15*$P$16)</f>
        <v>6.6219647923350736E-2</v>
      </c>
      <c r="J20" s="142">
        <f>($P$16/$S$9)*(I20-$P$14)</f>
        <v>0.42286063454766254</v>
      </c>
      <c r="K20" s="142">
        <f>1/J20</f>
        <v>2.3648453374471901</v>
      </c>
      <c r="L20" s="184">
        <f>E20*K20</f>
        <v>70.085141972589355</v>
      </c>
      <c r="M20" s="143">
        <f>E20/2*L20</f>
        <v>1038.530310531924</v>
      </c>
      <c r="N20" s="263">
        <f t="shared" si="12"/>
        <v>599.60774597890691</v>
      </c>
      <c r="O20" s="75" t="s">
        <v>182</v>
      </c>
      <c r="P20" s="91">
        <v>1.61</v>
      </c>
      <c r="Q20" s="77" t="s">
        <v>58</v>
      </c>
      <c r="U20" s="61">
        <f t="shared" ref="U20:U27" si="19">E20</f>
        <v>29.636247606892152</v>
      </c>
      <c r="V20" s="61">
        <f t="shared" si="13"/>
        <v>0.33750000000000002</v>
      </c>
      <c r="W20" s="61">
        <f>'Дин. х-ка автомобиля с ГТК'!$O$2</f>
        <v>0.02</v>
      </c>
    </row>
    <row r="21" spans="2:29" x14ac:dyDescent="0.45">
      <c r="B21" s="256"/>
      <c r="C21" s="42">
        <f>Главная!A15</f>
        <v>400</v>
      </c>
      <c r="D21" s="27">
        <f>Главная!K15</f>
        <v>110.32595270890727</v>
      </c>
      <c r="E21" s="27">
        <f t="shared" ref="E21:E27" si="20">(C21*$P$12)/$P$5</f>
        <v>32.929164007657945</v>
      </c>
      <c r="F21" s="27">
        <f t="shared" ref="F21:F27" si="21">(D21*$P$13*$P$5)/$P$12</f>
        <v>1232.9481121183649</v>
      </c>
      <c r="G21" s="27">
        <f t="shared" si="1"/>
        <v>279.58500000000004</v>
      </c>
      <c r="H21" s="27">
        <f t="shared" ref="H21:H27" si="22">$P$17*$P$18*$P$19*(E21^2)</f>
        <v>395.08980985050232</v>
      </c>
      <c r="I21" s="60">
        <f>(F21-H21)/($P$15*$P$16)</f>
        <v>5.9935855090070107E-2</v>
      </c>
      <c r="J21" s="61">
        <f t="shared" ref="J21:J27" si="23">($P$16/$S$9)*(I21-$P$14)</f>
        <v>0.36537061148964045</v>
      </c>
      <c r="K21" s="61">
        <f t="shared" ref="K21:K27" si="24">1/J21</f>
        <v>2.7369470027239822</v>
      </c>
      <c r="L21" s="139">
        <f t="shared" ref="L21:L27" si="25">E21*K21</f>
        <v>90.125376732965847</v>
      </c>
      <c r="M21" s="144">
        <f t="shared" ref="M21:M27" si="26">E21/2*L21</f>
        <v>1483.8766558458958</v>
      </c>
      <c r="N21" s="263">
        <f t="shared" si="12"/>
        <v>674.67480985050236</v>
      </c>
      <c r="O21" s="75" t="s">
        <v>183</v>
      </c>
      <c r="P21" s="91">
        <v>1.42</v>
      </c>
      <c r="Q21" s="77" t="s">
        <v>58</v>
      </c>
      <c r="U21" s="61">
        <f t="shared" si="19"/>
        <v>32.929164007657945</v>
      </c>
      <c r="V21" s="61">
        <f t="shared" si="13"/>
        <v>0.33750000000000002</v>
      </c>
      <c r="W21" s="61">
        <f>'Дин. х-ка автомобиля с ГТК'!$O$2</f>
        <v>0.02</v>
      </c>
    </row>
    <row r="22" spans="2:29" x14ac:dyDescent="0.45">
      <c r="B22" s="256"/>
      <c r="C22" s="42">
        <f>Главная!A16</f>
        <v>440</v>
      </c>
      <c r="D22" s="27">
        <f>Главная!K16</f>
        <v>108.9977460555973</v>
      </c>
      <c r="E22" s="27">
        <f t="shared" si="20"/>
        <v>36.222080408423743</v>
      </c>
      <c r="F22" s="27">
        <f t="shared" si="21"/>
        <v>1218.1047335162116</v>
      </c>
      <c r="G22" s="27">
        <f t="shared" si="1"/>
        <v>279.58500000000004</v>
      </c>
      <c r="H22" s="27">
        <f t="shared" si="22"/>
        <v>478.05866991910784</v>
      </c>
      <c r="I22" s="60">
        <f t="shared" ref="I22:I27" si="27">(F22-H22)/($P$15*$P$16)</f>
        <v>5.2938896120829353E-2</v>
      </c>
      <c r="J22" s="61">
        <f t="shared" si="23"/>
        <v>0.30135587657552365</v>
      </c>
      <c r="K22" s="61">
        <f t="shared" si="24"/>
        <v>3.3183358206369244</v>
      </c>
      <c r="L22" s="139">
        <f t="shared" si="25"/>
        <v>120.19702691726346</v>
      </c>
      <c r="M22" s="144">
        <f t="shared" si="26"/>
        <v>2176.8931869252951</v>
      </c>
      <c r="N22" s="263">
        <f t="shared" si="12"/>
        <v>757.64366991910788</v>
      </c>
      <c r="O22" s="79"/>
      <c r="U22" s="61">
        <f t="shared" si="19"/>
        <v>36.222080408423743</v>
      </c>
      <c r="V22" s="61">
        <f t="shared" si="13"/>
        <v>0.33750000000000002</v>
      </c>
      <c r="W22" s="61">
        <f>'Дин. х-ка автомобиля с ГТК'!$O$2</f>
        <v>0.02</v>
      </c>
    </row>
    <row r="23" spans="2:29" x14ac:dyDescent="0.45">
      <c r="B23" s="256"/>
      <c r="C23" s="42">
        <f>Главная!A17</f>
        <v>480</v>
      </c>
      <c r="D23" s="27">
        <f>Главная!K17</f>
        <v>107.50207568105294</v>
      </c>
      <c r="E23" s="27">
        <f t="shared" si="20"/>
        <v>39.514996809189533</v>
      </c>
      <c r="F23" s="27">
        <f t="shared" si="21"/>
        <v>1201.3898634483191</v>
      </c>
      <c r="G23" s="27">
        <f t="shared" si="1"/>
        <v>279.58500000000004</v>
      </c>
      <c r="H23" s="27">
        <f t="shared" si="22"/>
        <v>568.92932618472332</v>
      </c>
      <c r="I23" s="60">
        <f t="shared" si="27"/>
        <v>4.5242808967834169E-2</v>
      </c>
      <c r="J23" s="61">
        <f t="shared" si="23"/>
        <v>0.23094486214186527</v>
      </c>
      <c r="K23" s="61">
        <f t="shared" si="24"/>
        <v>4.3300378745196682</v>
      </c>
      <c r="L23" s="139">
        <f t="shared" si="25"/>
        <v>171.10143279531451</v>
      </c>
      <c r="M23" s="144">
        <f t="shared" si="26"/>
        <v>3380.5362854773052</v>
      </c>
      <c r="N23" s="263">
        <f t="shared" si="12"/>
        <v>848.51432618472336</v>
      </c>
      <c r="U23" s="61">
        <f t="shared" si="19"/>
        <v>39.514996809189533</v>
      </c>
      <c r="V23" s="61">
        <f t="shared" si="13"/>
        <v>0.33750000000000002</v>
      </c>
      <c r="W23" s="61">
        <f>'Дин. х-ка автомобиля с ГТК'!$O$2</f>
        <v>0.02</v>
      </c>
    </row>
    <row r="24" spans="2:29" x14ac:dyDescent="0.45">
      <c r="B24" s="256"/>
      <c r="C24" s="42">
        <f>Главная!A18</f>
        <v>520</v>
      </c>
      <c r="D24" s="27">
        <f>Главная!K18</f>
        <v>103.25167761531397</v>
      </c>
      <c r="E24" s="27">
        <f t="shared" si="20"/>
        <v>42.807913209955331</v>
      </c>
      <c r="F24" s="27">
        <f t="shared" si="21"/>
        <v>1153.8895233902422</v>
      </c>
      <c r="G24" s="27">
        <f t="shared" si="1"/>
        <v>279.58500000000004</v>
      </c>
      <c r="H24" s="27">
        <f t="shared" si="22"/>
        <v>667.70177864734899</v>
      </c>
      <c r="I24" s="60">
        <f t="shared" si="27"/>
        <v>3.4779243860929107E-2</v>
      </c>
      <c r="J24" s="61">
        <f t="shared" si="23"/>
        <v>0.13521436700537423</v>
      </c>
      <c r="K24" s="61">
        <f t="shared" si="24"/>
        <v>7.3956638051654231</v>
      </c>
      <c r="L24" s="139">
        <f t="shared" si="25"/>
        <v>316.5929343015294</v>
      </c>
      <c r="M24" s="144">
        <f t="shared" si="26"/>
        <v>6776.3414272324799</v>
      </c>
      <c r="N24" s="263">
        <f t="shared" si="12"/>
        <v>947.28677864734902</v>
      </c>
      <c r="U24" s="61">
        <f t="shared" si="19"/>
        <v>42.807913209955331</v>
      </c>
      <c r="V24" s="61">
        <f t="shared" si="13"/>
        <v>0.33750000000000002</v>
      </c>
      <c r="W24" s="61">
        <f>'Дин. х-ка автомобиля с ГТК'!$O$2</f>
        <v>0.02</v>
      </c>
    </row>
    <row r="25" spans="2:29" x14ac:dyDescent="0.45">
      <c r="B25" s="256"/>
      <c r="C25" s="42">
        <f>Главная!A19</f>
        <v>560</v>
      </c>
      <c r="D25" s="27">
        <f>Главная!K19</f>
        <v>98.290305653942028</v>
      </c>
      <c r="E25" s="27">
        <f t="shared" si="20"/>
        <v>46.100829610721128</v>
      </c>
      <c r="F25" s="27">
        <f t="shared" si="21"/>
        <v>1098.4436918058061</v>
      </c>
      <c r="G25" s="27">
        <f t="shared" si="1"/>
        <v>279.58500000000004</v>
      </c>
      <c r="H25" s="27">
        <f t="shared" si="22"/>
        <v>774.37602730698461</v>
      </c>
      <c r="I25" s="60">
        <f t="shared" si="27"/>
        <v>2.3182049430321476E-2</v>
      </c>
      <c r="J25" s="61">
        <f t="shared" si="23"/>
        <v>2.9112368910711072E-2</v>
      </c>
      <c r="K25" s="61">
        <f t="shared" si="24"/>
        <v>34.349660897299167</v>
      </c>
      <c r="L25" s="139">
        <f t="shared" si="25"/>
        <v>1583.547864212439</v>
      </c>
      <c r="M25" s="144">
        <f t="shared" si="26"/>
        <v>36501.435134239502</v>
      </c>
      <c r="N25" s="263">
        <f t="shared" si="12"/>
        <v>1053.9610273069848</v>
      </c>
      <c r="U25" s="61">
        <f t="shared" si="19"/>
        <v>46.100829610721128</v>
      </c>
      <c r="V25" s="61">
        <f t="shared" si="13"/>
        <v>0.33750000000000002</v>
      </c>
      <c r="W25" s="61">
        <f>'Дин. х-ка автомобиля с ГТК'!$O$2</f>
        <v>0.02</v>
      </c>
    </row>
    <row r="26" spans="2:29" x14ac:dyDescent="0.45">
      <c r="B26" s="256"/>
      <c r="C26" s="42">
        <f>Главная!A20</f>
        <v>600</v>
      </c>
      <c r="D26" s="27">
        <f>Главная!K20</f>
        <v>92.842707376798273</v>
      </c>
      <c r="E26" s="27">
        <f t="shared" si="20"/>
        <v>49.393746011486925</v>
      </c>
      <c r="F26" s="27">
        <f t="shared" si="21"/>
        <v>1037.5640361448641</v>
      </c>
      <c r="G26" s="27">
        <f t="shared" si="1"/>
        <v>279.58500000000004</v>
      </c>
      <c r="H26" s="27">
        <f t="shared" si="22"/>
        <v>888.95207216363053</v>
      </c>
      <c r="I26" s="60">
        <f t="shared" si="27"/>
        <v>1.0630896792119288E-2</v>
      </c>
      <c r="J26" s="61">
        <f t="shared" si="23"/>
        <v>-8.5717332468588897E-2</v>
      </c>
      <c r="K26" s="61">
        <f t="shared" si="24"/>
        <v>-11.666251984293256</v>
      </c>
      <c r="L26" s="139">
        <f t="shared" si="25"/>
        <v>-576.23988741818641</v>
      </c>
      <c r="M26" s="144">
        <f t="shared" si="26"/>
        <v>-14231.32332041086</v>
      </c>
      <c r="N26" s="263">
        <f t="shared" si="12"/>
        <v>1168.5370721636305</v>
      </c>
      <c r="U26" s="61">
        <f t="shared" si="19"/>
        <v>49.393746011486925</v>
      </c>
      <c r="V26" s="61">
        <f t="shared" si="13"/>
        <v>0.33750000000000002</v>
      </c>
      <c r="W26" s="61">
        <f>'Дин. х-ка автомобиля с ГТК'!$O$2</f>
        <v>0.02</v>
      </c>
    </row>
    <row r="27" spans="2:29" ht="14.65" thickBot="1" x14ac:dyDescent="0.5">
      <c r="B27" s="257"/>
      <c r="C27" s="157">
        <f>Главная!A21</f>
        <v>630</v>
      </c>
      <c r="D27" s="158">
        <f>Главная!K21</f>
        <v>89.460317460317455</v>
      </c>
      <c r="E27" s="158">
        <f t="shared" si="20"/>
        <v>51.863433312061261</v>
      </c>
      <c r="F27" s="158">
        <f t="shared" si="21"/>
        <v>999.76412452319414</v>
      </c>
      <c r="G27" s="158">
        <f t="shared" si="1"/>
        <v>279.58500000000004</v>
      </c>
      <c r="H27" s="158">
        <f t="shared" si="22"/>
        <v>980.06965956040221</v>
      </c>
      <c r="I27" s="159">
        <f t="shared" si="27"/>
        <v>1.4088355929532648E-3</v>
      </c>
      <c r="J27" s="146">
        <f t="shared" si="23"/>
        <v>-0.1700893869027503</v>
      </c>
      <c r="K27" s="146">
        <f t="shared" si="24"/>
        <v>-5.8792615942096162</v>
      </c>
      <c r="L27" s="187">
        <f t="shared" si="25"/>
        <v>-304.91869161545338</v>
      </c>
      <c r="M27" s="147">
        <f t="shared" si="26"/>
        <v>-7907.0651140995196</v>
      </c>
      <c r="N27" s="263">
        <f t="shared" si="12"/>
        <v>1259.6546595604023</v>
      </c>
      <c r="U27" s="61">
        <f t="shared" si="19"/>
        <v>51.863433312061261</v>
      </c>
      <c r="V27" s="61">
        <f t="shared" si="13"/>
        <v>0.33750000000000002</v>
      </c>
      <c r="W27" s="61">
        <f>'Дин. х-ка автомобиля с ГТК'!$O$2</f>
        <v>0.02</v>
      </c>
    </row>
    <row r="28" spans="2:29" ht="34.15" customHeight="1" x14ac:dyDescent="0.45"/>
    <row r="67" spans="2:5" x14ac:dyDescent="0.45">
      <c r="C67" s="63"/>
      <c r="D67" s="32"/>
      <c r="E67" s="63"/>
    </row>
    <row r="68" spans="2:5" x14ac:dyDescent="0.45">
      <c r="C68" s="80"/>
    </row>
    <row r="69" spans="2:5" x14ac:dyDescent="0.45">
      <c r="C69" s="80"/>
    </row>
    <row r="70" spans="2:5" x14ac:dyDescent="0.45">
      <c r="C70" s="80"/>
    </row>
    <row r="71" spans="2:5" x14ac:dyDescent="0.45">
      <c r="C71" s="80"/>
    </row>
    <row r="72" spans="2:5" x14ac:dyDescent="0.45">
      <c r="B72" s="80"/>
      <c r="C72" s="80"/>
    </row>
    <row r="73" spans="2:5" x14ac:dyDescent="0.45">
      <c r="B73" s="80"/>
      <c r="C73" s="80"/>
    </row>
    <row r="74" spans="2:5" x14ac:dyDescent="0.45">
      <c r="B74" s="80"/>
      <c r="C74" s="80"/>
    </row>
    <row r="75" spans="2:5" x14ac:dyDescent="0.45">
      <c r="B75" s="80"/>
      <c r="C75" s="80"/>
    </row>
    <row r="76" spans="2:5" x14ac:dyDescent="0.45">
      <c r="B76" s="80"/>
      <c r="C76" s="80"/>
    </row>
    <row r="77" spans="2:5" x14ac:dyDescent="0.45">
      <c r="B77" s="80"/>
      <c r="C77" s="80"/>
    </row>
    <row r="78" spans="2:5" x14ac:dyDescent="0.45">
      <c r="B78" s="80"/>
      <c r="C78" s="80"/>
    </row>
    <row r="79" spans="2:5" x14ac:dyDescent="0.45">
      <c r="B79" s="80"/>
      <c r="C79" s="80"/>
    </row>
    <row r="80" spans="2:5" x14ac:dyDescent="0.45">
      <c r="B80" s="80"/>
      <c r="C80" s="80"/>
    </row>
    <row r="81" spans="2:3" x14ac:dyDescent="0.45">
      <c r="B81" s="80"/>
      <c r="C81" s="80"/>
    </row>
    <row r="82" spans="2:3" x14ac:dyDescent="0.45">
      <c r="B82" s="80"/>
      <c r="C82" s="80"/>
    </row>
    <row r="83" spans="2:3" x14ac:dyDescent="0.45">
      <c r="B83" s="80"/>
      <c r="C83" s="80"/>
    </row>
    <row r="84" spans="2:3" x14ac:dyDescent="0.45">
      <c r="B84" s="80"/>
      <c r="C84" s="80"/>
    </row>
    <row r="85" spans="2:3" x14ac:dyDescent="0.45">
      <c r="B85" s="80"/>
      <c r="C85" s="80"/>
    </row>
    <row r="86" spans="2:3" x14ac:dyDescent="0.45">
      <c r="B86" s="80"/>
      <c r="C86" s="80"/>
    </row>
    <row r="87" spans="2:3" x14ac:dyDescent="0.45">
      <c r="B87" s="80"/>
      <c r="C87" s="80"/>
    </row>
    <row r="88" spans="2:3" x14ac:dyDescent="0.45">
      <c r="B88" s="80"/>
      <c r="C88" s="80"/>
    </row>
    <row r="89" spans="2:3" x14ac:dyDescent="0.45">
      <c r="B89" s="80"/>
    </row>
    <row r="90" spans="2:3" x14ac:dyDescent="0.45">
      <c r="B90" s="80"/>
    </row>
    <row r="91" spans="2:3" x14ac:dyDescent="0.45">
      <c r="B91" s="80"/>
    </row>
    <row r="92" spans="2:3" x14ac:dyDescent="0.45">
      <c r="B92" s="80"/>
    </row>
  </sheetData>
  <mergeCells count="5">
    <mergeCell ref="B20:B27"/>
    <mergeCell ref="B12:B19"/>
    <mergeCell ref="B4:B11"/>
    <mergeCell ref="B2:G2"/>
    <mergeCell ref="U2:Z2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Главная</vt:lpstr>
      <vt:lpstr>Х-ка ДВС</vt:lpstr>
      <vt:lpstr>Х-ка ГТК</vt:lpstr>
      <vt:lpstr>Выходная х-ка силового агрегата</vt:lpstr>
      <vt:lpstr>Согласование ДВС и ГТК</vt:lpstr>
      <vt:lpstr>Ск-ть ГТК и авто</vt:lpstr>
      <vt:lpstr>Дин. х-ка автомобиля с ГТК</vt:lpstr>
      <vt:lpstr>Тяговые и разгонные х-ки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2018-05-31T15:22:35Z</dcterms:modified>
</cp:coreProperties>
</file>